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imea.acosta\Desktop\Uteco2021\UTECO_2022\"/>
    </mc:Choice>
  </mc:AlternateContent>
  <workbookProtection workbookAlgorithmName="SHA-512" workbookHashValue="Dpm+7m+kR/Xc7HfZyNEsWHN9Y1tjmpR+GIoga6agVAm1DzMf4qf41SJTwoabqvJi9EdHohoXWi4sR9fmXG4ysA==" workbookSaltValue="WjcZf1YI02db3z8dMVg2qw==" workbookSpinCount="100000" lockStructure="1"/>
  <bookViews>
    <workbookView xWindow="0" yWindow="0" windowWidth="28800" windowHeight="12135"/>
  </bookViews>
  <sheets>
    <sheet name="Detalle_Gastos_4toNivel" sheetId="2" r:id="rId1"/>
  </sheets>
  <definedNames>
    <definedName name="_xlnm.Print_Titles" localSheetId="0">Detalle_Gastos_4toNivel!$4:$4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2" l="1"/>
  <c r="W236" i="2"/>
  <c r="W235" i="2" s="1"/>
  <c r="V235" i="2"/>
  <c r="T235" i="2"/>
  <c r="S235" i="2"/>
  <c r="R235" i="2"/>
  <c r="P235" i="2"/>
  <c r="O235" i="2"/>
  <c r="N235" i="2"/>
  <c r="M235" i="2"/>
  <c r="L235" i="2"/>
  <c r="K235" i="2"/>
  <c r="J235" i="2"/>
  <c r="H235" i="2"/>
  <c r="G235" i="2"/>
  <c r="W234" i="2"/>
  <c r="W233" i="2" s="1"/>
  <c r="V233" i="2"/>
  <c r="T233" i="2"/>
  <c r="S233" i="2"/>
  <c r="R233" i="2"/>
  <c r="P233" i="2"/>
  <c r="O233" i="2"/>
  <c r="N233" i="2"/>
  <c r="M233" i="2"/>
  <c r="L233" i="2"/>
  <c r="K233" i="2"/>
  <c r="J233" i="2"/>
  <c r="H233" i="2"/>
  <c r="G233" i="2"/>
  <c r="V232" i="2"/>
  <c r="S232" i="2"/>
  <c r="S230" i="2" s="1"/>
  <c r="O232" i="2"/>
  <c r="O230" i="2" s="1"/>
  <c r="O223" i="2" s="1"/>
  <c r="M232" i="2"/>
  <c r="L232" i="2"/>
  <c r="L230" i="2" s="1"/>
  <c r="J232" i="2"/>
  <c r="J230" i="2" s="1"/>
  <c r="J223" i="2" s="1"/>
  <c r="H232" i="2"/>
  <c r="G232" i="2"/>
  <c r="W232" i="2" s="1"/>
  <c r="W231" i="2"/>
  <c r="V230" i="2"/>
  <c r="T230" i="2"/>
  <c r="R230" i="2"/>
  <c r="P230" i="2"/>
  <c r="N230" i="2"/>
  <c r="M230" i="2"/>
  <c r="K230" i="2"/>
  <c r="H230" i="2"/>
  <c r="G230" i="2"/>
  <c r="W229" i="2"/>
  <c r="W228" i="2" s="1"/>
  <c r="V228" i="2"/>
  <c r="T228" i="2"/>
  <c r="S228" i="2"/>
  <c r="R228" i="2"/>
  <c r="R223" i="2" s="1"/>
  <c r="P228" i="2"/>
  <c r="O228" i="2"/>
  <c r="N228" i="2"/>
  <c r="M228" i="2"/>
  <c r="M223" i="2" s="1"/>
  <c r="L228" i="2"/>
  <c r="K228" i="2"/>
  <c r="J228" i="2"/>
  <c r="H228" i="2"/>
  <c r="G228" i="2"/>
  <c r="W227" i="2"/>
  <c r="W226" i="2" s="1"/>
  <c r="V226" i="2"/>
  <c r="V223" i="2" s="1"/>
  <c r="T226" i="2"/>
  <c r="S226" i="2"/>
  <c r="R226" i="2"/>
  <c r="P226" i="2"/>
  <c r="O226" i="2"/>
  <c r="N226" i="2"/>
  <c r="M226" i="2"/>
  <c r="L226" i="2"/>
  <c r="K226" i="2"/>
  <c r="J226" i="2"/>
  <c r="H226" i="2"/>
  <c r="G226" i="2"/>
  <c r="W225" i="2"/>
  <c r="W224" i="2" s="1"/>
  <c r="V224" i="2"/>
  <c r="U224" i="2"/>
  <c r="U223" i="2" s="1"/>
  <c r="T224" i="2"/>
  <c r="T223" i="2" s="1"/>
  <c r="S224" i="2"/>
  <c r="S223" i="2" s="1"/>
  <c r="R224" i="2"/>
  <c r="P224" i="2"/>
  <c r="O224" i="2"/>
  <c r="N224" i="2"/>
  <c r="N223" i="2" s="1"/>
  <c r="M224" i="2"/>
  <c r="L224" i="2"/>
  <c r="K224" i="2"/>
  <c r="K223" i="2" s="1"/>
  <c r="J224" i="2"/>
  <c r="H224" i="2"/>
  <c r="H223" i="2" s="1"/>
  <c r="G224" i="2"/>
  <c r="G223" i="2" s="1"/>
  <c r="Q223" i="2"/>
  <c r="P223" i="2"/>
  <c r="G222" i="2"/>
  <c r="W222" i="2" s="1"/>
  <c r="W221" i="2" s="1"/>
  <c r="W218" i="2" s="1"/>
  <c r="V221" i="2"/>
  <c r="U221" i="2"/>
  <c r="T221" i="2"/>
  <c r="S221" i="2"/>
  <c r="R221" i="2"/>
  <c r="R218" i="2" s="1"/>
  <c r="P221" i="2"/>
  <c r="O221" i="2"/>
  <c r="N221" i="2"/>
  <c r="M221" i="2"/>
  <c r="L221" i="2"/>
  <c r="K221" i="2"/>
  <c r="J221" i="2"/>
  <c r="H221" i="2"/>
  <c r="G221" i="2"/>
  <c r="W220" i="2"/>
  <c r="W219" i="2"/>
  <c r="V219" i="2"/>
  <c r="V218" i="2" s="1"/>
  <c r="U219" i="2"/>
  <c r="U218" i="2" s="1"/>
  <c r="T219" i="2"/>
  <c r="T218" i="2" s="1"/>
  <c r="T217" i="2" s="1"/>
  <c r="S219" i="2"/>
  <c r="R219" i="2"/>
  <c r="P219" i="2"/>
  <c r="O219" i="2"/>
  <c r="O218" i="2" s="1"/>
  <c r="O217" i="2" s="1"/>
  <c r="N219" i="2"/>
  <c r="M219" i="2"/>
  <c r="M218" i="2" s="1"/>
  <c r="M217" i="2" s="1"/>
  <c r="L219" i="2"/>
  <c r="L218" i="2" s="1"/>
  <c r="K219" i="2"/>
  <c r="J219" i="2"/>
  <c r="J218" i="2" s="1"/>
  <c r="J217" i="2" s="1"/>
  <c r="H219" i="2"/>
  <c r="H218" i="2" s="1"/>
  <c r="G219" i="2"/>
  <c r="G218" i="2" s="1"/>
  <c r="S218" i="2"/>
  <c r="S217" i="2" s="1"/>
  <c r="Q218" i="2"/>
  <c r="Q217" i="2" s="1"/>
  <c r="P218" i="2"/>
  <c r="P217" i="2" s="1"/>
  <c r="N218" i="2"/>
  <c r="K218" i="2"/>
  <c r="K217" i="2" s="1"/>
  <c r="W216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W214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W212" i="2"/>
  <c r="W211" i="2"/>
  <c r="W210" i="2" s="1"/>
  <c r="V211" i="2"/>
  <c r="V210" i="2" s="1"/>
  <c r="U211" i="2"/>
  <c r="U210" i="2" s="1"/>
  <c r="T211" i="2"/>
  <c r="T210" i="2" s="1"/>
  <c r="S211" i="2"/>
  <c r="R211" i="2"/>
  <c r="Q211" i="2"/>
  <c r="Q210" i="2" s="1"/>
  <c r="P211" i="2"/>
  <c r="P210" i="2" s="1"/>
  <c r="O211" i="2"/>
  <c r="N211" i="2"/>
  <c r="N210" i="2" s="1"/>
  <c r="M211" i="2"/>
  <c r="M210" i="2" s="1"/>
  <c r="L211" i="2"/>
  <c r="K211" i="2"/>
  <c r="K210" i="2" s="1"/>
  <c r="J211" i="2"/>
  <c r="J210" i="2" s="1"/>
  <c r="I211" i="2"/>
  <c r="I210" i="2" s="1"/>
  <c r="H211" i="2"/>
  <c r="H210" i="2" s="1"/>
  <c r="G211" i="2"/>
  <c r="S210" i="2"/>
  <c r="R210" i="2"/>
  <c r="O210" i="2"/>
  <c r="L210" i="2"/>
  <c r="G210" i="2"/>
  <c r="W209" i="2"/>
  <c r="W208" i="2" s="1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H199" i="2" s="1"/>
  <c r="G208" i="2"/>
  <c r="W207" i="2"/>
  <c r="W206" i="2" s="1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W205" i="2"/>
  <c r="W204" i="2" s="1"/>
  <c r="V204" i="2"/>
  <c r="T204" i="2"/>
  <c r="T199" i="2" s="1"/>
  <c r="S204" i="2"/>
  <c r="R204" i="2"/>
  <c r="P204" i="2"/>
  <c r="O204" i="2"/>
  <c r="N204" i="2"/>
  <c r="M204" i="2"/>
  <c r="L204" i="2"/>
  <c r="K204" i="2"/>
  <c r="K199" i="2" s="1"/>
  <c r="J204" i="2"/>
  <c r="H204" i="2"/>
  <c r="G204" i="2"/>
  <c r="W203" i="2"/>
  <c r="W202" i="2" s="1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W201" i="2"/>
  <c r="W200" i="2" s="1"/>
  <c r="V200" i="2"/>
  <c r="V199" i="2" s="1"/>
  <c r="U200" i="2"/>
  <c r="U199" i="2" s="1"/>
  <c r="T200" i="2"/>
  <c r="S200" i="2"/>
  <c r="S199" i="2" s="1"/>
  <c r="R200" i="2"/>
  <c r="R199" i="2" s="1"/>
  <c r="Q200" i="2"/>
  <c r="Q199" i="2" s="1"/>
  <c r="P200" i="2"/>
  <c r="P199" i="2" s="1"/>
  <c r="O200" i="2"/>
  <c r="N200" i="2"/>
  <c r="M200" i="2"/>
  <c r="M199" i="2" s="1"/>
  <c r="L200" i="2"/>
  <c r="L199" i="2" s="1"/>
  <c r="K200" i="2"/>
  <c r="J200" i="2"/>
  <c r="J199" i="2" s="1"/>
  <c r="I200" i="2"/>
  <c r="I199" i="2" s="1"/>
  <c r="H200" i="2"/>
  <c r="G200" i="2"/>
  <c r="G199" i="2" s="1"/>
  <c r="O199" i="2"/>
  <c r="N199" i="2"/>
  <c r="W198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W196" i="2"/>
  <c r="W195" i="2"/>
  <c r="W194" i="2" s="1"/>
  <c r="V195" i="2"/>
  <c r="V194" i="2" s="1"/>
  <c r="U195" i="2"/>
  <c r="U194" i="2" s="1"/>
  <c r="T195" i="2"/>
  <c r="S195" i="2"/>
  <c r="R195" i="2"/>
  <c r="R194" i="2" s="1"/>
  <c r="Q195" i="2"/>
  <c r="Q194" i="2" s="1"/>
  <c r="P195" i="2"/>
  <c r="O195" i="2"/>
  <c r="O194" i="2" s="1"/>
  <c r="N195" i="2"/>
  <c r="N194" i="2" s="1"/>
  <c r="M195" i="2"/>
  <c r="L195" i="2"/>
  <c r="L194" i="2" s="1"/>
  <c r="K195" i="2"/>
  <c r="K194" i="2" s="1"/>
  <c r="J195" i="2"/>
  <c r="J194" i="2" s="1"/>
  <c r="I195" i="2"/>
  <c r="I194" i="2" s="1"/>
  <c r="H195" i="2"/>
  <c r="G195" i="2"/>
  <c r="T194" i="2"/>
  <c r="S194" i="2"/>
  <c r="P194" i="2"/>
  <c r="M194" i="2"/>
  <c r="H194" i="2"/>
  <c r="G194" i="2"/>
  <c r="W193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W191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W189" i="2"/>
  <c r="W188" i="2"/>
  <c r="W187" i="2" s="1"/>
  <c r="V188" i="2"/>
  <c r="V187" i="2" s="1"/>
  <c r="U188" i="2"/>
  <c r="U187" i="2" s="1"/>
  <c r="T188" i="2"/>
  <c r="T187" i="2" s="1"/>
  <c r="S188" i="2"/>
  <c r="R188" i="2"/>
  <c r="Q188" i="2"/>
  <c r="Q187" i="2" s="1"/>
  <c r="P188" i="2"/>
  <c r="P187" i="2" s="1"/>
  <c r="O188" i="2"/>
  <c r="N188" i="2"/>
  <c r="N187" i="2" s="1"/>
  <c r="M188" i="2"/>
  <c r="M187" i="2" s="1"/>
  <c r="L188" i="2"/>
  <c r="K188" i="2"/>
  <c r="K187" i="2" s="1"/>
  <c r="J188" i="2"/>
  <c r="J187" i="2" s="1"/>
  <c r="I188" i="2"/>
  <c r="I187" i="2" s="1"/>
  <c r="H188" i="2"/>
  <c r="H187" i="2" s="1"/>
  <c r="G188" i="2"/>
  <c r="S187" i="2"/>
  <c r="R187" i="2"/>
  <c r="O187" i="2"/>
  <c r="L187" i="2"/>
  <c r="G187" i="2"/>
  <c r="W186" i="2"/>
  <c r="W185" i="2" s="1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W184" i="2"/>
  <c r="W183" i="2" s="1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W182" i="2"/>
  <c r="W181" i="2" s="1"/>
  <c r="V181" i="2"/>
  <c r="V180" i="2" s="1"/>
  <c r="U181" i="2"/>
  <c r="U180" i="2" s="1"/>
  <c r="T181" i="2"/>
  <c r="T180" i="2" s="1"/>
  <c r="S181" i="2"/>
  <c r="S180" i="2" s="1"/>
  <c r="R181" i="2"/>
  <c r="Q181" i="2"/>
  <c r="P181" i="2"/>
  <c r="P180" i="2" s="1"/>
  <c r="O181" i="2"/>
  <c r="O180" i="2" s="1"/>
  <c r="N181" i="2"/>
  <c r="M181" i="2"/>
  <c r="M180" i="2" s="1"/>
  <c r="L181" i="2"/>
  <c r="L180" i="2" s="1"/>
  <c r="K181" i="2"/>
  <c r="J181" i="2"/>
  <c r="J180" i="2" s="1"/>
  <c r="I181" i="2"/>
  <c r="I180" i="2" s="1"/>
  <c r="H181" i="2"/>
  <c r="H180" i="2" s="1"/>
  <c r="G181" i="2"/>
  <c r="G180" i="2" s="1"/>
  <c r="R180" i="2"/>
  <c r="Q180" i="2"/>
  <c r="N180" i="2"/>
  <c r="K180" i="2"/>
  <c r="W179" i="2"/>
  <c r="W178" i="2" s="1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W177" i="2"/>
  <c r="W176" i="2" s="1"/>
  <c r="W175" i="2" s="1"/>
  <c r="V176" i="2"/>
  <c r="V175" i="2" s="1"/>
  <c r="U176" i="2"/>
  <c r="U175" i="2" s="1"/>
  <c r="T176" i="2"/>
  <c r="S176" i="2"/>
  <c r="S175" i="2" s="1"/>
  <c r="R176" i="2"/>
  <c r="R175" i="2" s="1"/>
  <c r="R174" i="2" s="1"/>
  <c r="Q176" i="2"/>
  <c r="P176" i="2"/>
  <c r="P175" i="2" s="1"/>
  <c r="O176" i="2"/>
  <c r="O175" i="2" s="1"/>
  <c r="N176" i="2"/>
  <c r="N175" i="2" s="1"/>
  <c r="N174" i="2" s="1"/>
  <c r="M176" i="2"/>
  <c r="M175" i="2" s="1"/>
  <c r="L176" i="2"/>
  <c r="K176" i="2"/>
  <c r="J176" i="2"/>
  <c r="J175" i="2" s="1"/>
  <c r="I176" i="2"/>
  <c r="I175" i="2" s="1"/>
  <c r="H176" i="2"/>
  <c r="G176" i="2"/>
  <c r="G175" i="2" s="1"/>
  <c r="T175" i="2"/>
  <c r="Q175" i="2"/>
  <c r="L175" i="2"/>
  <c r="L174" i="2" s="1"/>
  <c r="K175" i="2"/>
  <c r="H175" i="2"/>
  <c r="W173" i="2"/>
  <c r="W172" i="2"/>
  <c r="W171" i="2" s="1"/>
  <c r="V171" i="2"/>
  <c r="T171" i="2"/>
  <c r="S171" i="2"/>
  <c r="R171" i="2"/>
  <c r="P171" i="2"/>
  <c r="P165" i="2" s="1"/>
  <c r="P164" i="2" s="1"/>
  <c r="O171" i="2"/>
  <c r="N171" i="2"/>
  <c r="M171" i="2"/>
  <c r="L171" i="2"/>
  <c r="K171" i="2"/>
  <c r="J171" i="2"/>
  <c r="J165" i="2" s="1"/>
  <c r="J164" i="2" s="1"/>
  <c r="H171" i="2"/>
  <c r="G171" i="2"/>
  <c r="W170" i="2"/>
  <c r="W169" i="2"/>
  <c r="W168" i="2"/>
  <c r="W167" i="2"/>
  <c r="W166" i="2" s="1"/>
  <c r="V166" i="2"/>
  <c r="U166" i="2"/>
  <c r="U165" i="2" s="1"/>
  <c r="U164" i="2" s="1"/>
  <c r="T166" i="2"/>
  <c r="T165" i="2" s="1"/>
  <c r="T164" i="2" s="1"/>
  <c r="S166" i="2"/>
  <c r="R166" i="2"/>
  <c r="R165" i="2" s="1"/>
  <c r="R164" i="2" s="1"/>
  <c r="Q166" i="2"/>
  <c r="Q165" i="2" s="1"/>
  <c r="Q164" i="2" s="1"/>
  <c r="P166" i="2"/>
  <c r="O166" i="2"/>
  <c r="O165" i="2" s="1"/>
  <c r="O164" i="2" s="1"/>
  <c r="N166" i="2"/>
  <c r="N165" i="2" s="1"/>
  <c r="N164" i="2" s="1"/>
  <c r="M166" i="2"/>
  <c r="M165" i="2" s="1"/>
  <c r="M164" i="2" s="1"/>
  <c r="L166" i="2"/>
  <c r="L165" i="2" s="1"/>
  <c r="L164" i="2" s="1"/>
  <c r="K166" i="2"/>
  <c r="J166" i="2"/>
  <c r="I166" i="2"/>
  <c r="I165" i="2" s="1"/>
  <c r="I164" i="2" s="1"/>
  <c r="H166" i="2"/>
  <c r="H165" i="2" s="1"/>
  <c r="H164" i="2" s="1"/>
  <c r="G166" i="2"/>
  <c r="V165" i="2"/>
  <c r="V164" i="2" s="1"/>
  <c r="S165" i="2"/>
  <c r="S164" i="2" s="1"/>
  <c r="K165" i="2"/>
  <c r="K164" i="2" s="1"/>
  <c r="G165" i="2"/>
  <c r="G164" i="2" s="1"/>
  <c r="W163" i="2"/>
  <c r="W162" i="2" s="1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W161" i="2"/>
  <c r="W160" i="2" s="1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W159" i="2"/>
  <c r="W158" i="2"/>
  <c r="V158" i="2"/>
  <c r="U158" i="2"/>
  <c r="T158" i="2"/>
  <c r="S158" i="2"/>
  <c r="R158" i="2"/>
  <c r="Q158" i="2"/>
  <c r="P158" i="2"/>
  <c r="O158" i="2"/>
  <c r="N158" i="2"/>
  <c r="N155" i="2" s="1"/>
  <c r="M158" i="2"/>
  <c r="L158" i="2"/>
  <c r="K158" i="2"/>
  <c r="K155" i="2" s="1"/>
  <c r="J158" i="2"/>
  <c r="I158" i="2"/>
  <c r="H158" i="2"/>
  <c r="G158" i="2"/>
  <c r="W157" i="2"/>
  <c r="W156" i="2" s="1"/>
  <c r="W155" i="2" s="1"/>
  <c r="V156" i="2"/>
  <c r="U156" i="2"/>
  <c r="T156" i="2"/>
  <c r="T155" i="2" s="1"/>
  <c r="S156" i="2"/>
  <c r="S155" i="2" s="1"/>
  <c r="R156" i="2"/>
  <c r="R155" i="2" s="1"/>
  <c r="Q156" i="2"/>
  <c r="Q155" i="2" s="1"/>
  <c r="P156" i="2"/>
  <c r="P155" i="2" s="1"/>
  <c r="O156" i="2"/>
  <c r="O155" i="2" s="1"/>
  <c r="N156" i="2"/>
  <c r="M156" i="2"/>
  <c r="L156" i="2"/>
  <c r="L155" i="2" s="1"/>
  <c r="K156" i="2"/>
  <c r="J156" i="2"/>
  <c r="I156" i="2"/>
  <c r="H156" i="2"/>
  <c r="H155" i="2" s="1"/>
  <c r="G156" i="2"/>
  <c r="G155" i="2" s="1"/>
  <c r="V155" i="2"/>
  <c r="U155" i="2"/>
  <c r="M155" i="2"/>
  <c r="J155" i="2"/>
  <c r="I155" i="2"/>
  <c r="W154" i="2"/>
  <c r="W153" i="2"/>
  <c r="O152" i="2"/>
  <c r="W152" i="2" s="1"/>
  <c r="W151" i="2" s="1"/>
  <c r="V151" i="2"/>
  <c r="V145" i="2" s="1"/>
  <c r="U151" i="2"/>
  <c r="T151" i="2"/>
  <c r="S151" i="2"/>
  <c r="S145" i="2" s="1"/>
  <c r="R151" i="2"/>
  <c r="Q151" i="2"/>
  <c r="P151" i="2"/>
  <c r="O151" i="2"/>
  <c r="N151" i="2"/>
  <c r="M151" i="2"/>
  <c r="L151" i="2"/>
  <c r="K151" i="2"/>
  <c r="J151" i="2"/>
  <c r="I151" i="2"/>
  <c r="H151" i="2"/>
  <c r="G151" i="2"/>
  <c r="K150" i="2"/>
  <c r="J150" i="2"/>
  <c r="G150" i="2"/>
  <c r="W150" i="2" s="1"/>
  <c r="T149" i="2"/>
  <c r="R149" i="2"/>
  <c r="N149" i="2"/>
  <c r="L149" i="2"/>
  <c r="L146" i="2" s="1"/>
  <c r="L145" i="2" s="1"/>
  <c r="J149" i="2"/>
  <c r="J146" i="2" s="1"/>
  <c r="J145" i="2" s="1"/>
  <c r="G149" i="2"/>
  <c r="W149" i="2" s="1"/>
  <c r="W148" i="2"/>
  <c r="W147" i="2"/>
  <c r="V146" i="2"/>
  <c r="U146" i="2"/>
  <c r="T146" i="2"/>
  <c r="T145" i="2" s="1"/>
  <c r="S146" i="2"/>
  <c r="R146" i="2"/>
  <c r="Q146" i="2"/>
  <c r="P146" i="2"/>
  <c r="P145" i="2" s="1"/>
  <c r="O146" i="2"/>
  <c r="O145" i="2" s="1"/>
  <c r="N146" i="2"/>
  <c r="N145" i="2" s="1"/>
  <c r="M146" i="2"/>
  <c r="M145" i="2" s="1"/>
  <c r="K146" i="2"/>
  <c r="K145" i="2" s="1"/>
  <c r="I146" i="2"/>
  <c r="H146" i="2"/>
  <c r="H145" i="2" s="1"/>
  <c r="U145" i="2"/>
  <c r="R145" i="2"/>
  <c r="Q145" i="2"/>
  <c r="I145" i="2"/>
  <c r="W144" i="2"/>
  <c r="W143" i="2" s="1"/>
  <c r="W142" i="2" s="1"/>
  <c r="V143" i="2"/>
  <c r="V142" i="2" s="1"/>
  <c r="U143" i="2"/>
  <c r="T143" i="2"/>
  <c r="S143" i="2"/>
  <c r="S142" i="2" s="1"/>
  <c r="R143" i="2"/>
  <c r="Q143" i="2"/>
  <c r="P143" i="2"/>
  <c r="O143" i="2"/>
  <c r="O142" i="2" s="1"/>
  <c r="N143" i="2"/>
  <c r="N142" i="2" s="1"/>
  <c r="M143" i="2"/>
  <c r="M142" i="2" s="1"/>
  <c r="L143" i="2"/>
  <c r="L142" i="2" s="1"/>
  <c r="K143" i="2"/>
  <c r="K142" i="2" s="1"/>
  <c r="J143" i="2"/>
  <c r="J142" i="2" s="1"/>
  <c r="I143" i="2"/>
  <c r="H143" i="2"/>
  <c r="G143" i="2"/>
  <c r="G142" i="2" s="1"/>
  <c r="U142" i="2"/>
  <c r="T142" i="2"/>
  <c r="R142" i="2"/>
  <c r="Q142" i="2"/>
  <c r="P142" i="2"/>
  <c r="I142" i="2"/>
  <c r="H142" i="2"/>
  <c r="W141" i="2"/>
  <c r="W140" i="2"/>
  <c r="V140" i="2"/>
  <c r="U140" i="2"/>
  <c r="T140" i="2"/>
  <c r="S140" i="2"/>
  <c r="R140" i="2"/>
  <c r="Q140" i="2"/>
  <c r="Q137" i="2" s="1"/>
  <c r="P140" i="2"/>
  <c r="O140" i="2"/>
  <c r="N140" i="2"/>
  <c r="N137" i="2" s="1"/>
  <c r="M140" i="2"/>
  <c r="L140" i="2"/>
  <c r="L137" i="2" s="1"/>
  <c r="K140" i="2"/>
  <c r="J140" i="2"/>
  <c r="I140" i="2"/>
  <c r="H140" i="2"/>
  <c r="G140" i="2"/>
  <c r="W139" i="2"/>
  <c r="K139" i="2"/>
  <c r="J139" i="2"/>
  <c r="G139" i="2"/>
  <c r="W138" i="2"/>
  <c r="W137" i="2" s="1"/>
  <c r="V138" i="2"/>
  <c r="V137" i="2" s="1"/>
  <c r="U138" i="2"/>
  <c r="U137" i="2" s="1"/>
  <c r="T138" i="2"/>
  <c r="T137" i="2" s="1"/>
  <c r="S138" i="2"/>
  <c r="S137" i="2" s="1"/>
  <c r="R138" i="2"/>
  <c r="R137" i="2" s="1"/>
  <c r="Q138" i="2"/>
  <c r="P138" i="2"/>
  <c r="O138" i="2"/>
  <c r="O137" i="2" s="1"/>
  <c r="N138" i="2"/>
  <c r="M138" i="2"/>
  <c r="L138" i="2"/>
  <c r="K138" i="2"/>
  <c r="K137" i="2" s="1"/>
  <c r="J138" i="2"/>
  <c r="J137" i="2" s="1"/>
  <c r="I138" i="2"/>
  <c r="I137" i="2" s="1"/>
  <c r="H138" i="2"/>
  <c r="H137" i="2" s="1"/>
  <c r="G138" i="2"/>
  <c r="G137" i="2" s="1"/>
  <c r="P137" i="2"/>
  <c r="M137" i="2"/>
  <c r="W136" i="2"/>
  <c r="V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W134" i="2"/>
  <c r="W133" i="2" s="1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W132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V130" i="2"/>
  <c r="T130" i="2"/>
  <c r="T129" i="2" s="1"/>
  <c r="T128" i="2" s="1"/>
  <c r="S130" i="2"/>
  <c r="S129" i="2" s="1"/>
  <c r="S128" i="2" s="1"/>
  <c r="R130" i="2"/>
  <c r="R129" i="2" s="1"/>
  <c r="R128" i="2" s="1"/>
  <c r="O130" i="2"/>
  <c r="N130" i="2"/>
  <c r="M130" i="2"/>
  <c r="M129" i="2" s="1"/>
  <c r="M128" i="2" s="1"/>
  <c r="L130" i="2"/>
  <c r="K130" i="2"/>
  <c r="K129" i="2" s="1"/>
  <c r="K128" i="2" s="1"/>
  <c r="J130" i="2"/>
  <c r="J129" i="2" s="1"/>
  <c r="H130" i="2"/>
  <c r="H129" i="2" s="1"/>
  <c r="H128" i="2" s="1"/>
  <c r="G130" i="2"/>
  <c r="W130" i="2" s="1"/>
  <c r="W129" i="2" s="1"/>
  <c r="W128" i="2" s="1"/>
  <c r="V129" i="2"/>
  <c r="U129" i="2"/>
  <c r="U128" i="2" s="1"/>
  <c r="Q129" i="2"/>
  <c r="Q128" i="2" s="1"/>
  <c r="P129" i="2"/>
  <c r="P128" i="2" s="1"/>
  <c r="O129" i="2"/>
  <c r="O128" i="2" s="1"/>
  <c r="N129" i="2"/>
  <c r="N128" i="2" s="1"/>
  <c r="L129" i="2"/>
  <c r="L128" i="2" s="1"/>
  <c r="I129" i="2"/>
  <c r="I128" i="2" s="1"/>
  <c r="V128" i="2"/>
  <c r="J128" i="2"/>
  <c r="W127" i="2"/>
  <c r="W126" i="2" s="1"/>
  <c r="O127" i="2"/>
  <c r="J127" i="2"/>
  <c r="V126" i="2"/>
  <c r="U126" i="2"/>
  <c r="T126" i="2"/>
  <c r="S126" i="2"/>
  <c r="R126" i="2"/>
  <c r="R123" i="2" s="1"/>
  <c r="Q126" i="2"/>
  <c r="P126" i="2"/>
  <c r="O126" i="2"/>
  <c r="O123" i="2" s="1"/>
  <c r="N126" i="2"/>
  <c r="M126" i="2"/>
  <c r="L126" i="2"/>
  <c r="K126" i="2"/>
  <c r="J126" i="2"/>
  <c r="I126" i="2"/>
  <c r="H126" i="2"/>
  <c r="G126" i="2"/>
  <c r="W125" i="2"/>
  <c r="W124" i="2" s="1"/>
  <c r="W123" i="2" s="1"/>
  <c r="V124" i="2"/>
  <c r="V123" i="2" s="1"/>
  <c r="U124" i="2"/>
  <c r="U123" i="2" s="1"/>
  <c r="T124" i="2"/>
  <c r="T123" i="2" s="1"/>
  <c r="S124" i="2"/>
  <c r="S123" i="2" s="1"/>
  <c r="R124" i="2"/>
  <c r="Q124" i="2"/>
  <c r="P124" i="2"/>
  <c r="P123" i="2" s="1"/>
  <c r="O124" i="2"/>
  <c r="N124" i="2"/>
  <c r="M124" i="2"/>
  <c r="L124" i="2"/>
  <c r="L123" i="2" s="1"/>
  <c r="K124" i="2"/>
  <c r="K123" i="2" s="1"/>
  <c r="J124" i="2"/>
  <c r="J123" i="2" s="1"/>
  <c r="J118" i="2" s="1"/>
  <c r="I124" i="2"/>
  <c r="I123" i="2" s="1"/>
  <c r="H124" i="2"/>
  <c r="H123" i="2" s="1"/>
  <c r="G124" i="2"/>
  <c r="G123" i="2" s="1"/>
  <c r="Q123" i="2"/>
  <c r="N123" i="2"/>
  <c r="M123" i="2"/>
  <c r="W122" i="2"/>
  <c r="W121" i="2"/>
  <c r="W120" i="2" s="1"/>
  <c r="W119" i="2" s="1"/>
  <c r="V120" i="2"/>
  <c r="V119" i="2" s="1"/>
  <c r="V118" i="2" s="1"/>
  <c r="U120" i="2"/>
  <c r="U119" i="2" s="1"/>
  <c r="U118" i="2" s="1"/>
  <c r="T120" i="2"/>
  <c r="T119" i="2" s="1"/>
  <c r="S120" i="2"/>
  <c r="S119" i="2" s="1"/>
  <c r="R120" i="2"/>
  <c r="Q120" i="2"/>
  <c r="P120" i="2"/>
  <c r="P119" i="2" s="1"/>
  <c r="O120" i="2"/>
  <c r="N120" i="2"/>
  <c r="M120" i="2"/>
  <c r="L120" i="2"/>
  <c r="L119" i="2" s="1"/>
  <c r="K120" i="2"/>
  <c r="K119" i="2" s="1"/>
  <c r="J120" i="2"/>
  <c r="J119" i="2" s="1"/>
  <c r="I120" i="2"/>
  <c r="I119" i="2" s="1"/>
  <c r="I118" i="2" s="1"/>
  <c r="H120" i="2"/>
  <c r="H119" i="2" s="1"/>
  <c r="G120" i="2"/>
  <c r="G119" i="2" s="1"/>
  <c r="R119" i="2"/>
  <c r="Q119" i="2"/>
  <c r="O119" i="2"/>
  <c r="N119" i="2"/>
  <c r="M119" i="2"/>
  <c r="M118" i="2" s="1"/>
  <c r="W117" i="2"/>
  <c r="W116" i="2" s="1"/>
  <c r="W115" i="2" s="1"/>
  <c r="V116" i="2"/>
  <c r="U116" i="2"/>
  <c r="T116" i="2"/>
  <c r="T115" i="2" s="1"/>
  <c r="S116" i="2"/>
  <c r="R116" i="2"/>
  <c r="Q116" i="2"/>
  <c r="P116" i="2"/>
  <c r="P115" i="2" s="1"/>
  <c r="O116" i="2"/>
  <c r="O115" i="2" s="1"/>
  <c r="N116" i="2"/>
  <c r="N115" i="2" s="1"/>
  <c r="M116" i="2"/>
  <c r="M115" i="2" s="1"/>
  <c r="L116" i="2"/>
  <c r="L115" i="2" s="1"/>
  <c r="K116" i="2"/>
  <c r="K115" i="2" s="1"/>
  <c r="J116" i="2"/>
  <c r="I116" i="2"/>
  <c r="H116" i="2"/>
  <c r="H115" i="2" s="1"/>
  <c r="G116" i="2"/>
  <c r="V115" i="2"/>
  <c r="U115" i="2"/>
  <c r="S115" i="2"/>
  <c r="R115" i="2"/>
  <c r="Q115" i="2"/>
  <c r="J115" i="2"/>
  <c r="I115" i="2"/>
  <c r="G115" i="2"/>
  <c r="W114" i="2"/>
  <c r="W110" i="2" s="1"/>
  <c r="W113" i="2"/>
  <c r="W112" i="2"/>
  <c r="W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W109" i="2"/>
  <c r="W108" i="2"/>
  <c r="W107" i="2"/>
  <c r="W106" i="2"/>
  <c r="V105" i="2"/>
  <c r="U105" i="2"/>
  <c r="T105" i="2"/>
  <c r="S105" i="2"/>
  <c r="R105" i="2"/>
  <c r="Q105" i="2"/>
  <c r="P105" i="2"/>
  <c r="O105" i="2"/>
  <c r="N105" i="2"/>
  <c r="M105" i="2"/>
  <c r="L105" i="2"/>
  <c r="L96" i="2" s="1"/>
  <c r="K105" i="2"/>
  <c r="J105" i="2"/>
  <c r="I105" i="2"/>
  <c r="H105" i="2"/>
  <c r="G105" i="2"/>
  <c r="W104" i="2"/>
  <c r="W103" i="2"/>
  <c r="W102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W100" i="2"/>
  <c r="W99" i="2" s="1"/>
  <c r="V99" i="2"/>
  <c r="U99" i="2"/>
  <c r="T99" i="2"/>
  <c r="S99" i="2"/>
  <c r="R99" i="2"/>
  <c r="Q99" i="2"/>
  <c r="Q96" i="2" s="1"/>
  <c r="P99" i="2"/>
  <c r="O99" i="2"/>
  <c r="N99" i="2"/>
  <c r="N96" i="2" s="1"/>
  <c r="M99" i="2"/>
  <c r="L99" i="2"/>
  <c r="K99" i="2"/>
  <c r="J99" i="2"/>
  <c r="I99" i="2"/>
  <c r="H99" i="2"/>
  <c r="G99" i="2"/>
  <c r="W98" i="2"/>
  <c r="W97" i="2"/>
  <c r="V97" i="2"/>
  <c r="V96" i="2" s="1"/>
  <c r="U97" i="2"/>
  <c r="U96" i="2" s="1"/>
  <c r="T97" i="2"/>
  <c r="T96" i="2" s="1"/>
  <c r="S97" i="2"/>
  <c r="S96" i="2" s="1"/>
  <c r="R97" i="2"/>
  <c r="Q97" i="2"/>
  <c r="P97" i="2"/>
  <c r="O97" i="2"/>
  <c r="O96" i="2" s="1"/>
  <c r="N97" i="2"/>
  <c r="M97" i="2"/>
  <c r="L97" i="2"/>
  <c r="K97" i="2"/>
  <c r="K96" i="2" s="1"/>
  <c r="J97" i="2"/>
  <c r="J96" i="2" s="1"/>
  <c r="I97" i="2"/>
  <c r="I96" i="2" s="1"/>
  <c r="H97" i="2"/>
  <c r="H96" i="2" s="1"/>
  <c r="G97" i="2"/>
  <c r="G96" i="2" s="1"/>
  <c r="P96" i="2"/>
  <c r="M96" i="2"/>
  <c r="W95" i="2"/>
  <c r="W94" i="2"/>
  <c r="W93" i="2"/>
  <c r="H92" i="2"/>
  <c r="H90" i="2" s="1"/>
  <c r="W91" i="2"/>
  <c r="V90" i="2"/>
  <c r="U90" i="2"/>
  <c r="T90" i="2"/>
  <c r="S90" i="2"/>
  <c r="R90" i="2"/>
  <c r="R84" i="2" s="1"/>
  <c r="Q90" i="2"/>
  <c r="P90" i="2"/>
  <c r="O90" i="2"/>
  <c r="O84" i="2" s="1"/>
  <c r="N90" i="2"/>
  <c r="M90" i="2"/>
  <c r="L90" i="2"/>
  <c r="K90" i="2"/>
  <c r="J90" i="2"/>
  <c r="I90" i="2"/>
  <c r="G90" i="2"/>
  <c r="W89" i="2"/>
  <c r="W88" i="2"/>
  <c r="W87" i="2"/>
  <c r="W86" i="2"/>
  <c r="W85" i="2" s="1"/>
  <c r="V85" i="2"/>
  <c r="V84" i="2" s="1"/>
  <c r="U85" i="2"/>
  <c r="U84" i="2" s="1"/>
  <c r="T85" i="2"/>
  <c r="T84" i="2" s="1"/>
  <c r="S85" i="2"/>
  <c r="S84" i="2" s="1"/>
  <c r="R85" i="2"/>
  <c r="Q85" i="2"/>
  <c r="P85" i="2"/>
  <c r="P84" i="2" s="1"/>
  <c r="O85" i="2"/>
  <c r="N85" i="2"/>
  <c r="M85" i="2"/>
  <c r="L85" i="2"/>
  <c r="L84" i="2" s="1"/>
  <c r="K85" i="2"/>
  <c r="K84" i="2" s="1"/>
  <c r="J85" i="2"/>
  <c r="J84" i="2" s="1"/>
  <c r="I85" i="2"/>
  <c r="I84" i="2" s="1"/>
  <c r="H85" i="2"/>
  <c r="H84" i="2" s="1"/>
  <c r="G85" i="2"/>
  <c r="G84" i="2" s="1"/>
  <c r="Q84" i="2"/>
  <c r="N84" i="2"/>
  <c r="M84" i="2"/>
  <c r="W83" i="2"/>
  <c r="W82" i="2"/>
  <c r="V82" i="2"/>
  <c r="U82" i="2"/>
  <c r="T82" i="2"/>
  <c r="T74" i="2" s="1"/>
  <c r="S82" i="2"/>
  <c r="R82" i="2"/>
  <c r="Q82" i="2"/>
  <c r="P82" i="2"/>
  <c r="O82" i="2"/>
  <c r="N82" i="2"/>
  <c r="M82" i="2"/>
  <c r="L82" i="2"/>
  <c r="K82" i="2"/>
  <c r="J82" i="2"/>
  <c r="I82" i="2"/>
  <c r="H82" i="2"/>
  <c r="H74" i="2" s="1"/>
  <c r="G82" i="2"/>
  <c r="W81" i="2"/>
  <c r="V81" i="2"/>
  <c r="W80" i="2"/>
  <c r="V80" i="2"/>
  <c r="U80" i="2"/>
  <c r="T80" i="2"/>
  <c r="S80" i="2"/>
  <c r="R80" i="2"/>
  <c r="Q80" i="2"/>
  <c r="P80" i="2"/>
  <c r="O80" i="2"/>
  <c r="N80" i="2"/>
  <c r="M80" i="2"/>
  <c r="M74" i="2" s="1"/>
  <c r="L80" i="2"/>
  <c r="K80" i="2"/>
  <c r="J80" i="2"/>
  <c r="I80" i="2"/>
  <c r="H80" i="2"/>
  <c r="G80" i="2"/>
  <c r="W79" i="2"/>
  <c r="W78" i="2" s="1"/>
  <c r="V78" i="2"/>
  <c r="U78" i="2"/>
  <c r="T78" i="2"/>
  <c r="S78" i="2"/>
  <c r="R78" i="2"/>
  <c r="Q78" i="2"/>
  <c r="P78" i="2"/>
  <c r="O78" i="2"/>
  <c r="N78" i="2"/>
  <c r="M78" i="2"/>
  <c r="L78" i="2"/>
  <c r="L74" i="2" s="1"/>
  <c r="K78" i="2"/>
  <c r="J78" i="2"/>
  <c r="I78" i="2"/>
  <c r="H78" i="2"/>
  <c r="G78" i="2"/>
  <c r="W77" i="2"/>
  <c r="W76" i="2"/>
  <c r="W75" i="2"/>
  <c r="V75" i="2"/>
  <c r="U75" i="2"/>
  <c r="T75" i="2"/>
  <c r="S75" i="2"/>
  <c r="S74" i="2" s="1"/>
  <c r="R75" i="2"/>
  <c r="R74" i="2" s="1"/>
  <c r="Q75" i="2"/>
  <c r="Q74" i="2" s="1"/>
  <c r="P75" i="2"/>
  <c r="P74" i="2" s="1"/>
  <c r="O75" i="2"/>
  <c r="O74" i="2" s="1"/>
  <c r="N75" i="2"/>
  <c r="N74" i="2" s="1"/>
  <c r="M75" i="2"/>
  <c r="L75" i="2"/>
  <c r="K75" i="2"/>
  <c r="K74" i="2" s="1"/>
  <c r="J75" i="2"/>
  <c r="I75" i="2"/>
  <c r="H75" i="2"/>
  <c r="G75" i="2"/>
  <c r="G74" i="2" s="1"/>
  <c r="V74" i="2"/>
  <c r="U74" i="2"/>
  <c r="J74" i="2"/>
  <c r="I74" i="2"/>
  <c r="V73" i="2"/>
  <c r="T73" i="2"/>
  <c r="T72" i="2" s="1"/>
  <c r="S73" i="2"/>
  <c r="S72" i="2" s="1"/>
  <c r="S69" i="2" s="1"/>
  <c r="R73" i="2"/>
  <c r="O73" i="2"/>
  <c r="N73" i="2"/>
  <c r="N72" i="2" s="1"/>
  <c r="M73" i="2"/>
  <c r="L73" i="2"/>
  <c r="L72" i="2" s="1"/>
  <c r="K73" i="2"/>
  <c r="K72" i="2" s="1"/>
  <c r="K69" i="2" s="1"/>
  <c r="J73" i="2"/>
  <c r="J72" i="2" s="1"/>
  <c r="H73" i="2"/>
  <c r="H72" i="2" s="1"/>
  <c r="H69" i="2" s="1"/>
  <c r="G73" i="2"/>
  <c r="W73" i="2" s="1"/>
  <c r="W72" i="2" s="1"/>
  <c r="V72" i="2"/>
  <c r="U72" i="2"/>
  <c r="R72" i="2"/>
  <c r="Q72" i="2"/>
  <c r="P72" i="2"/>
  <c r="O72" i="2"/>
  <c r="M72" i="2"/>
  <c r="I72" i="2"/>
  <c r="G72" i="2"/>
  <c r="W71" i="2"/>
  <c r="W70" i="2" s="1"/>
  <c r="W69" i="2" s="1"/>
  <c r="T71" i="2"/>
  <c r="T70" i="2" s="1"/>
  <c r="R71" i="2"/>
  <c r="R70" i="2" s="1"/>
  <c r="R69" i="2" s="1"/>
  <c r="O71" i="2"/>
  <c r="O70" i="2" s="1"/>
  <c r="O69" i="2" s="1"/>
  <c r="N71" i="2"/>
  <c r="M71" i="2"/>
  <c r="V70" i="2"/>
  <c r="U70" i="2"/>
  <c r="U69" i="2" s="1"/>
  <c r="S70" i="2"/>
  <c r="Q70" i="2"/>
  <c r="Q69" i="2" s="1"/>
  <c r="P70" i="2"/>
  <c r="P69" i="2" s="1"/>
  <c r="N70" i="2"/>
  <c r="N69" i="2" s="1"/>
  <c r="M70" i="2"/>
  <c r="M69" i="2" s="1"/>
  <c r="L70" i="2"/>
  <c r="L69" i="2" s="1"/>
  <c r="K70" i="2"/>
  <c r="J70" i="2"/>
  <c r="I70" i="2"/>
  <c r="I69" i="2" s="1"/>
  <c r="H70" i="2"/>
  <c r="G70" i="2"/>
  <c r="V69" i="2"/>
  <c r="J69" i="2"/>
  <c r="G69" i="2"/>
  <c r="W68" i="2"/>
  <c r="W67" i="2" s="1"/>
  <c r="V67" i="2"/>
  <c r="U67" i="2"/>
  <c r="T67" i="2"/>
  <c r="S67" i="2"/>
  <c r="R67" i="2"/>
  <c r="Q67" i="2"/>
  <c r="P67" i="2"/>
  <c r="P64" i="2" s="1"/>
  <c r="O67" i="2"/>
  <c r="N67" i="2"/>
  <c r="M67" i="2"/>
  <c r="M64" i="2" s="1"/>
  <c r="L67" i="2"/>
  <c r="K67" i="2"/>
  <c r="J67" i="2"/>
  <c r="I67" i="2"/>
  <c r="H67" i="2"/>
  <c r="G67" i="2"/>
  <c r="W66" i="2"/>
  <c r="W65" i="2" s="1"/>
  <c r="V65" i="2"/>
  <c r="V64" i="2" s="1"/>
  <c r="U65" i="2"/>
  <c r="U64" i="2" s="1"/>
  <c r="T65" i="2"/>
  <c r="T64" i="2" s="1"/>
  <c r="S65" i="2"/>
  <c r="S64" i="2" s="1"/>
  <c r="R65" i="2"/>
  <c r="R64" i="2" s="1"/>
  <c r="Q65" i="2"/>
  <c r="Q64" i="2" s="1"/>
  <c r="P65" i="2"/>
  <c r="O65" i="2"/>
  <c r="N65" i="2"/>
  <c r="N64" i="2" s="1"/>
  <c r="M65" i="2"/>
  <c r="L65" i="2"/>
  <c r="K65" i="2"/>
  <c r="J65" i="2"/>
  <c r="J64" i="2" s="1"/>
  <c r="I65" i="2"/>
  <c r="I64" i="2" s="1"/>
  <c r="H65" i="2"/>
  <c r="H64" i="2" s="1"/>
  <c r="G65" i="2"/>
  <c r="G64" i="2" s="1"/>
  <c r="O64" i="2"/>
  <c r="L64" i="2"/>
  <c r="K64" i="2"/>
  <c r="W63" i="2"/>
  <c r="O63" i="2"/>
  <c r="J63" i="2"/>
  <c r="W62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J60" i="2"/>
  <c r="W60" i="2" s="1"/>
  <c r="W59" i="2"/>
  <c r="J59" i="2"/>
  <c r="J58" i="2" s="1"/>
  <c r="V58" i="2"/>
  <c r="U58" i="2"/>
  <c r="T58" i="2"/>
  <c r="S58" i="2"/>
  <c r="R58" i="2"/>
  <c r="Q58" i="2"/>
  <c r="P58" i="2"/>
  <c r="O58" i="2"/>
  <c r="N58" i="2"/>
  <c r="M58" i="2"/>
  <c r="L58" i="2"/>
  <c r="K58" i="2"/>
  <c r="I58" i="2"/>
  <c r="H58" i="2"/>
  <c r="G58" i="2"/>
  <c r="W57" i="2"/>
  <c r="J57" i="2"/>
  <c r="J56" i="2" s="1"/>
  <c r="V56" i="2"/>
  <c r="U56" i="2"/>
  <c r="T56" i="2"/>
  <c r="S56" i="2"/>
  <c r="R56" i="2"/>
  <c r="Q56" i="2"/>
  <c r="P56" i="2"/>
  <c r="O56" i="2"/>
  <c r="N56" i="2"/>
  <c r="M56" i="2"/>
  <c r="L56" i="2"/>
  <c r="K56" i="2"/>
  <c r="I56" i="2"/>
  <c r="H56" i="2"/>
  <c r="W56" i="2" s="1"/>
  <c r="G56" i="2"/>
  <c r="W55" i="2"/>
  <c r="J55" i="2"/>
  <c r="V54" i="2"/>
  <c r="U54" i="2"/>
  <c r="T54" i="2"/>
  <c r="S54" i="2"/>
  <c r="R54" i="2"/>
  <c r="Q54" i="2"/>
  <c r="P54" i="2"/>
  <c r="O54" i="2"/>
  <c r="N54" i="2"/>
  <c r="M54" i="2"/>
  <c r="L54" i="2"/>
  <c r="K54" i="2"/>
  <c r="W54" i="2" s="1"/>
  <c r="J54" i="2"/>
  <c r="I54" i="2"/>
  <c r="H54" i="2"/>
  <c r="G54" i="2"/>
  <c r="W53" i="2"/>
  <c r="J53" i="2"/>
  <c r="V52" i="2"/>
  <c r="U52" i="2"/>
  <c r="T52" i="2"/>
  <c r="S52" i="2"/>
  <c r="R52" i="2"/>
  <c r="Q52" i="2"/>
  <c r="P52" i="2"/>
  <c r="O52" i="2"/>
  <c r="O45" i="2" s="1"/>
  <c r="N52" i="2"/>
  <c r="M52" i="2"/>
  <c r="L52" i="2"/>
  <c r="K52" i="2"/>
  <c r="J52" i="2"/>
  <c r="I52" i="2"/>
  <c r="H52" i="2"/>
  <c r="G52" i="2"/>
  <c r="W51" i="2"/>
  <c r="J51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W50" i="2" s="1"/>
  <c r="H50" i="2"/>
  <c r="G50" i="2"/>
  <c r="J49" i="2"/>
  <c r="W49" i="2" s="1"/>
  <c r="V48" i="2"/>
  <c r="U48" i="2"/>
  <c r="T48" i="2"/>
  <c r="S48" i="2"/>
  <c r="R48" i="2"/>
  <c r="Q48" i="2"/>
  <c r="Q45" i="2" s="1"/>
  <c r="P48" i="2"/>
  <c r="O48" i="2"/>
  <c r="N48" i="2"/>
  <c r="M48" i="2"/>
  <c r="L48" i="2"/>
  <c r="K48" i="2"/>
  <c r="I48" i="2"/>
  <c r="H48" i="2"/>
  <c r="G48" i="2"/>
  <c r="W47" i="2"/>
  <c r="V46" i="2"/>
  <c r="V45" i="2" s="1"/>
  <c r="U46" i="2"/>
  <c r="U45" i="2" s="1"/>
  <c r="U44" i="2" s="1"/>
  <c r="T46" i="2"/>
  <c r="S46" i="2"/>
  <c r="R46" i="2"/>
  <c r="R45" i="2" s="1"/>
  <c r="Q46" i="2"/>
  <c r="P46" i="2"/>
  <c r="O46" i="2"/>
  <c r="N46" i="2"/>
  <c r="N45" i="2" s="1"/>
  <c r="M46" i="2"/>
  <c r="L46" i="2"/>
  <c r="K46" i="2"/>
  <c r="J46" i="2"/>
  <c r="I46" i="2"/>
  <c r="I45" i="2" s="1"/>
  <c r="I44" i="2" s="1"/>
  <c r="H46" i="2"/>
  <c r="G46" i="2"/>
  <c r="S45" i="2"/>
  <c r="P45" i="2"/>
  <c r="G45" i="2"/>
  <c r="Q43" i="2"/>
  <c r="Q42" i="2" s="1"/>
  <c r="T41" i="2"/>
  <c r="L41" i="2"/>
  <c r="L40" i="2" s="1"/>
  <c r="H41" i="2"/>
  <c r="T40" i="2"/>
  <c r="H40" i="2"/>
  <c r="U39" i="2"/>
  <c r="U38" i="2" s="1"/>
  <c r="T39" i="2"/>
  <c r="T38" i="2" s="1"/>
  <c r="T37" i="2" s="1"/>
  <c r="M39" i="2"/>
  <c r="M38" i="2" s="1"/>
  <c r="I39" i="2"/>
  <c r="I38" i="2" s="1"/>
  <c r="H39" i="2"/>
  <c r="H38" i="2" s="1"/>
  <c r="R38" i="2"/>
  <c r="W36" i="2"/>
  <c r="R36" i="2"/>
  <c r="V35" i="2"/>
  <c r="V34" i="2" s="1"/>
  <c r="T35" i="2"/>
  <c r="T34" i="2" s="1"/>
  <c r="T30" i="2" s="1"/>
  <c r="S35" i="2"/>
  <c r="R35" i="2"/>
  <c r="O35" i="2"/>
  <c r="O34" i="2" s="1"/>
  <c r="N35" i="2"/>
  <c r="M35" i="2"/>
  <c r="M34" i="2" s="1"/>
  <c r="L35" i="2"/>
  <c r="L34" i="2" s="1"/>
  <c r="K35" i="2"/>
  <c r="K34" i="2" s="1"/>
  <c r="J35" i="2"/>
  <c r="J34" i="2" s="1"/>
  <c r="H35" i="2"/>
  <c r="G35" i="2"/>
  <c r="W35" i="2" s="1"/>
  <c r="W34" i="2" s="1"/>
  <c r="U34" i="2"/>
  <c r="S34" i="2"/>
  <c r="R34" i="2"/>
  <c r="Q34" i="2"/>
  <c r="P34" i="2"/>
  <c r="N34" i="2"/>
  <c r="I34" i="2"/>
  <c r="H34" i="2"/>
  <c r="G34" i="2"/>
  <c r="R33" i="2"/>
  <c r="G33" i="2"/>
  <c r="W33" i="2" s="1"/>
  <c r="V32" i="2"/>
  <c r="T32" i="2"/>
  <c r="S32" i="2"/>
  <c r="S31" i="2" s="1"/>
  <c r="R32" i="2"/>
  <c r="R31" i="2" s="1"/>
  <c r="R30" i="2" s="1"/>
  <c r="P32" i="2"/>
  <c r="O32" i="2"/>
  <c r="N32" i="2"/>
  <c r="M32" i="2"/>
  <c r="M31" i="2" s="1"/>
  <c r="M30" i="2" s="1"/>
  <c r="L32" i="2"/>
  <c r="K32" i="2"/>
  <c r="K31" i="2" s="1"/>
  <c r="K30" i="2" s="1"/>
  <c r="J32" i="2"/>
  <c r="J31" i="2" s="1"/>
  <c r="J30" i="2" s="1"/>
  <c r="H32" i="2"/>
  <c r="G32" i="2"/>
  <c r="G31" i="2" s="1"/>
  <c r="G30" i="2" s="1"/>
  <c r="V31" i="2"/>
  <c r="U31" i="2"/>
  <c r="U30" i="2" s="1"/>
  <c r="T31" i="2"/>
  <c r="Q31" i="2"/>
  <c r="Q30" i="2" s="1"/>
  <c r="P31" i="2"/>
  <c r="P30" i="2" s="1"/>
  <c r="O31" i="2"/>
  <c r="N31" i="2"/>
  <c r="N30" i="2" s="1"/>
  <c r="L31" i="2"/>
  <c r="L30" i="2" s="1"/>
  <c r="I31" i="2"/>
  <c r="I30" i="2" s="1"/>
  <c r="V30" i="2"/>
  <c r="S30" i="2"/>
  <c r="W29" i="2"/>
  <c r="K28" i="2"/>
  <c r="G28" i="2"/>
  <c r="W28" i="2" s="1"/>
  <c r="V27" i="2"/>
  <c r="U27" i="2"/>
  <c r="T27" i="2"/>
  <c r="S27" i="2"/>
  <c r="S26" i="2" s="1"/>
  <c r="R27" i="2"/>
  <c r="R26" i="2" s="1"/>
  <c r="Q27" i="2"/>
  <c r="Q26" i="2" s="1"/>
  <c r="P27" i="2"/>
  <c r="P26" i="2" s="1"/>
  <c r="O27" i="2"/>
  <c r="O26" i="2" s="1"/>
  <c r="N27" i="2"/>
  <c r="N26" i="2" s="1"/>
  <c r="M27" i="2"/>
  <c r="L27" i="2"/>
  <c r="K27" i="2"/>
  <c r="K26" i="2" s="1"/>
  <c r="J27" i="2"/>
  <c r="I27" i="2"/>
  <c r="H27" i="2"/>
  <c r="G27" i="2"/>
  <c r="G26" i="2" s="1"/>
  <c r="V26" i="2"/>
  <c r="U26" i="2"/>
  <c r="T26" i="2"/>
  <c r="M26" i="2"/>
  <c r="L26" i="2"/>
  <c r="J26" i="2"/>
  <c r="I26" i="2"/>
  <c r="H26" i="2"/>
  <c r="W25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R23" i="2"/>
  <c r="N23" i="2"/>
  <c r="M23" i="2"/>
  <c r="P22" i="2"/>
  <c r="P21" i="2" s="1"/>
  <c r="P7" i="2" s="1"/>
  <c r="M22" i="2"/>
  <c r="L22" i="2"/>
  <c r="L21" i="2" s="1"/>
  <c r="W20" i="2"/>
  <c r="W19" i="2" s="1"/>
  <c r="V20" i="2"/>
  <c r="V19" i="2" s="1"/>
  <c r="T20" i="2"/>
  <c r="T19" i="2" s="1"/>
  <c r="K20" i="2"/>
  <c r="J20" i="2"/>
  <c r="J19" i="2" s="1"/>
  <c r="U19" i="2"/>
  <c r="S19" i="2"/>
  <c r="R19" i="2"/>
  <c r="Q19" i="2"/>
  <c r="P19" i="2"/>
  <c r="O19" i="2"/>
  <c r="N19" i="2"/>
  <c r="M19" i="2"/>
  <c r="L19" i="2"/>
  <c r="K19" i="2"/>
  <c r="I19" i="2"/>
  <c r="H19" i="2"/>
  <c r="G19" i="2"/>
  <c r="T18" i="2"/>
  <c r="K18" i="2"/>
  <c r="K13" i="2" s="1"/>
  <c r="G18" i="2"/>
  <c r="U17" i="2"/>
  <c r="S17" i="2"/>
  <c r="K17" i="2"/>
  <c r="W17" i="2" s="1"/>
  <c r="G17" i="2"/>
  <c r="V16" i="2"/>
  <c r="O16" i="2"/>
  <c r="J16" i="2"/>
  <c r="W16" i="2" s="1"/>
  <c r="V15" i="2"/>
  <c r="V13" i="2" s="1"/>
  <c r="S15" i="2"/>
  <c r="S13" i="2" s="1"/>
  <c r="Q15" i="2"/>
  <c r="Q13" i="2" s="1"/>
  <c r="L15" i="2"/>
  <c r="K15" i="2"/>
  <c r="J15" i="2"/>
  <c r="J13" i="2" s="1"/>
  <c r="W14" i="2"/>
  <c r="T14" i="2"/>
  <c r="J14" i="2"/>
  <c r="U13" i="2"/>
  <c r="U22" i="2" s="1"/>
  <c r="U21" i="2" s="1"/>
  <c r="T13" i="2"/>
  <c r="T22" i="2" s="1"/>
  <c r="T21" i="2" s="1"/>
  <c r="R13" i="2"/>
  <c r="P13" i="2"/>
  <c r="O13" i="2"/>
  <c r="N13" i="2"/>
  <c r="M13" i="2"/>
  <c r="L13" i="2"/>
  <c r="I13" i="2"/>
  <c r="I22" i="2" s="1"/>
  <c r="I21" i="2" s="1"/>
  <c r="H13" i="2"/>
  <c r="H22" i="2" s="1"/>
  <c r="H21" i="2" s="1"/>
  <c r="G13" i="2"/>
  <c r="Q12" i="2"/>
  <c r="O12" i="2"/>
  <c r="M12" i="2"/>
  <c r="W12" i="2" s="1"/>
  <c r="W11" i="2"/>
  <c r="R10" i="2"/>
  <c r="O10" i="2"/>
  <c r="N10" i="2"/>
  <c r="M10" i="2"/>
  <c r="W10" i="2" s="1"/>
  <c r="V9" i="2"/>
  <c r="V39" i="2" s="1"/>
  <c r="V38" i="2" s="1"/>
  <c r="U9" i="2"/>
  <c r="U41" i="2" s="1"/>
  <c r="U40" i="2" s="1"/>
  <c r="T9" i="2"/>
  <c r="T43" i="2" s="1"/>
  <c r="T42" i="2" s="1"/>
  <c r="S9" i="2"/>
  <c r="S39" i="2" s="1"/>
  <c r="S38" i="2" s="1"/>
  <c r="R9" i="2"/>
  <c r="R39" i="2" s="1"/>
  <c r="Q9" i="2"/>
  <c r="Q39" i="2" s="1"/>
  <c r="Q38" i="2" s="1"/>
  <c r="P9" i="2"/>
  <c r="P39" i="2" s="1"/>
  <c r="P38" i="2" s="1"/>
  <c r="O9" i="2"/>
  <c r="O39" i="2" s="1"/>
  <c r="O38" i="2" s="1"/>
  <c r="N9" i="2"/>
  <c r="N43" i="2" s="1"/>
  <c r="N42" i="2" s="1"/>
  <c r="M9" i="2"/>
  <c r="M8" i="2" s="1"/>
  <c r="L9" i="2"/>
  <c r="L43" i="2" s="1"/>
  <c r="L42" i="2" s="1"/>
  <c r="K9" i="2"/>
  <c r="J9" i="2"/>
  <c r="W9" i="2" s="1"/>
  <c r="W8" i="2" s="1"/>
  <c r="I9" i="2"/>
  <c r="I41" i="2" s="1"/>
  <c r="I40" i="2" s="1"/>
  <c r="H9" i="2"/>
  <c r="H43" i="2" s="1"/>
  <c r="H42" i="2" s="1"/>
  <c r="H37" i="2" s="1"/>
  <c r="G9" i="2"/>
  <c r="G39" i="2" s="1"/>
  <c r="T8" i="2"/>
  <c r="S8" i="2"/>
  <c r="Q8" i="2"/>
  <c r="P8" i="2"/>
  <c r="O8" i="2"/>
  <c r="K8" i="2"/>
  <c r="H8" i="2"/>
  <c r="G8" i="2"/>
  <c r="T7" i="2"/>
  <c r="H7" i="2"/>
  <c r="W199" i="2" l="1"/>
  <c r="K22" i="2"/>
  <c r="K21" i="2" s="1"/>
  <c r="K43" i="2"/>
  <c r="K42" i="2" s="1"/>
  <c r="K39" i="2"/>
  <c r="K38" i="2" s="1"/>
  <c r="K41" i="2"/>
  <c r="K40" i="2" s="1"/>
  <c r="H31" i="2"/>
  <c r="H30" i="2" s="1"/>
  <c r="W32" i="2"/>
  <c r="W31" i="2" s="1"/>
  <c r="W30" i="2" s="1"/>
  <c r="V44" i="2"/>
  <c r="Q44" i="2"/>
  <c r="N118" i="2"/>
  <c r="K45" i="2"/>
  <c r="K44" i="2" s="1"/>
  <c r="W46" i="2"/>
  <c r="W61" i="2"/>
  <c r="O118" i="2"/>
  <c r="P118" i="2"/>
  <c r="M174" i="2"/>
  <c r="W180" i="2"/>
  <c r="L45" i="2"/>
  <c r="L44" i="2" s="1"/>
  <c r="Q118" i="2"/>
  <c r="H174" i="2"/>
  <c r="H6" i="2"/>
  <c r="N8" i="2"/>
  <c r="N39" i="2"/>
  <c r="N38" i="2" s="1"/>
  <c r="N37" i="2" s="1"/>
  <c r="N41" i="2"/>
  <c r="N40" i="2" s="1"/>
  <c r="N22" i="2"/>
  <c r="N21" i="2" s="1"/>
  <c r="O23" i="2"/>
  <c r="W23" i="2" s="1"/>
  <c r="O43" i="2"/>
  <c r="O42" i="2" s="1"/>
  <c r="W18" i="2"/>
  <c r="M45" i="2"/>
  <c r="M44" i="2" s="1"/>
  <c r="T45" i="2"/>
  <c r="W146" i="2"/>
  <c r="W145" i="2" s="1"/>
  <c r="K174" i="2"/>
  <c r="O174" i="2"/>
  <c r="Q174" i="2"/>
  <c r="J41" i="2"/>
  <c r="J40" i="2" s="1"/>
  <c r="J22" i="2"/>
  <c r="J21" i="2" s="1"/>
  <c r="J43" i="2"/>
  <c r="J42" i="2" s="1"/>
  <c r="J8" i="2"/>
  <c r="J7" i="2" s="1"/>
  <c r="W74" i="2"/>
  <c r="N44" i="2"/>
  <c r="H45" i="2"/>
  <c r="H44" i="2" s="1"/>
  <c r="W52" i="2"/>
  <c r="W64" i="2"/>
  <c r="G118" i="2"/>
  <c r="S118" i="2"/>
  <c r="P174" i="2"/>
  <c r="M21" i="2"/>
  <c r="M7" i="2" s="1"/>
  <c r="W27" i="2"/>
  <c r="W26" i="2" s="1"/>
  <c r="O30" i="2"/>
  <c r="H118" i="2"/>
  <c r="T118" i="2"/>
  <c r="R118" i="2"/>
  <c r="N217" i="2"/>
  <c r="Q37" i="2"/>
  <c r="G44" i="2"/>
  <c r="T174" i="2"/>
  <c r="O22" i="2"/>
  <c r="O21" i="2" s="1"/>
  <c r="O7" i="2" s="1"/>
  <c r="O6" i="2" s="1"/>
  <c r="O5" i="2" s="1"/>
  <c r="O41" i="2"/>
  <c r="O40" i="2" s="1"/>
  <c r="O37" i="2" s="1"/>
  <c r="P44" i="2"/>
  <c r="W58" i="2"/>
  <c r="T69" i="2"/>
  <c r="W165" i="2"/>
  <c r="W164" i="2" s="1"/>
  <c r="G174" i="2"/>
  <c r="W174" i="2" s="1"/>
  <c r="S174" i="2"/>
  <c r="I37" i="2"/>
  <c r="W223" i="2"/>
  <c r="W217" i="2" s="1"/>
  <c r="G38" i="2"/>
  <c r="S44" i="2"/>
  <c r="R96" i="2"/>
  <c r="W118" i="2"/>
  <c r="J39" i="2"/>
  <c r="J38" i="2" s="1"/>
  <c r="O44" i="2"/>
  <c r="W96" i="2"/>
  <c r="L118" i="2"/>
  <c r="I174" i="2"/>
  <c r="U174" i="2"/>
  <c r="G217" i="2"/>
  <c r="U217" i="2"/>
  <c r="V41" i="2"/>
  <c r="V40" i="2" s="1"/>
  <c r="V37" i="2" s="1"/>
  <c r="V22" i="2"/>
  <c r="V21" i="2" s="1"/>
  <c r="V43" i="2"/>
  <c r="V42" i="2" s="1"/>
  <c r="V8" i="2"/>
  <c r="V7" i="2" s="1"/>
  <c r="T6" i="2"/>
  <c r="R44" i="2"/>
  <c r="W105" i="2"/>
  <c r="K118" i="2"/>
  <c r="J174" i="2"/>
  <c r="V174" i="2"/>
  <c r="H217" i="2"/>
  <c r="V217" i="2"/>
  <c r="R217" i="2"/>
  <c r="L223" i="2"/>
  <c r="L217" i="2" s="1"/>
  <c r="W230" i="2"/>
  <c r="M43" i="2"/>
  <c r="M42" i="2" s="1"/>
  <c r="M41" i="2"/>
  <c r="M40" i="2" s="1"/>
  <c r="M37" i="2" s="1"/>
  <c r="W15" i="2"/>
  <c r="W13" i="2" s="1"/>
  <c r="R8" i="2"/>
  <c r="L39" i="2"/>
  <c r="L38" i="2" s="1"/>
  <c r="L37" i="2" s="1"/>
  <c r="P43" i="2"/>
  <c r="P42" i="2" s="1"/>
  <c r="W92" i="2"/>
  <c r="W90" i="2" s="1"/>
  <c r="W84" i="2" s="1"/>
  <c r="Q22" i="2"/>
  <c r="Q21" i="2" s="1"/>
  <c r="Q7" i="2" s="1"/>
  <c r="Q6" i="2" s="1"/>
  <c r="Q5" i="2" s="1"/>
  <c r="P41" i="2"/>
  <c r="P40" i="2" s="1"/>
  <c r="P37" i="2" s="1"/>
  <c r="P6" i="2" s="1"/>
  <c r="P5" i="2" s="1"/>
  <c r="R43" i="2"/>
  <c r="R42" i="2" s="1"/>
  <c r="I8" i="2"/>
  <c r="I7" i="2" s="1"/>
  <c r="U8" i="2"/>
  <c r="U7" i="2" s="1"/>
  <c r="R22" i="2"/>
  <c r="R21" i="2" s="1"/>
  <c r="Q41" i="2"/>
  <c r="Q40" i="2" s="1"/>
  <c r="G43" i="2"/>
  <c r="S43" i="2"/>
  <c r="S42" i="2" s="1"/>
  <c r="J48" i="2"/>
  <c r="J45" i="2" s="1"/>
  <c r="G129" i="2"/>
  <c r="G128" i="2" s="1"/>
  <c r="G22" i="2"/>
  <c r="S22" i="2"/>
  <c r="S21" i="2" s="1"/>
  <c r="S7" i="2" s="1"/>
  <c r="R41" i="2"/>
  <c r="R40" i="2" s="1"/>
  <c r="R37" i="2" s="1"/>
  <c r="G146" i="2"/>
  <c r="G145" i="2" s="1"/>
  <c r="G41" i="2"/>
  <c r="S41" i="2"/>
  <c r="S40" i="2" s="1"/>
  <c r="S37" i="2" s="1"/>
  <c r="I43" i="2"/>
  <c r="I42" i="2" s="1"/>
  <c r="U43" i="2"/>
  <c r="U42" i="2" s="1"/>
  <c r="U37" i="2" s="1"/>
  <c r="L8" i="2"/>
  <c r="L7" i="2" s="1"/>
  <c r="L6" i="2" s="1"/>
  <c r="M6" i="2" l="1"/>
  <c r="M5" i="2" s="1"/>
  <c r="S6" i="2"/>
  <c r="S5" i="2" s="1"/>
  <c r="J44" i="2"/>
  <c r="W45" i="2"/>
  <c r="W44" i="2" s="1"/>
  <c r="N7" i="2"/>
  <c r="N6" i="2" s="1"/>
  <c r="N5" i="2" s="1"/>
  <c r="J37" i="2"/>
  <c r="H5" i="2"/>
  <c r="U6" i="2"/>
  <c r="U5" i="2" s="1"/>
  <c r="V6" i="2"/>
  <c r="V5" i="2" s="1"/>
  <c r="K37" i="2"/>
  <c r="L5" i="2"/>
  <c r="G40" i="2"/>
  <c r="G37" i="2" s="1"/>
  <c r="W41" i="2"/>
  <c r="W40" i="2" s="1"/>
  <c r="I6" i="2"/>
  <c r="I5" i="2" s="1"/>
  <c r="T44" i="2"/>
  <c r="T5" i="2" s="1"/>
  <c r="W48" i="2"/>
  <c r="W39" i="2"/>
  <c r="W38" i="2" s="1"/>
  <c r="X179" i="2"/>
  <c r="J6" i="2"/>
  <c r="W22" i="2"/>
  <c r="W21" i="2" s="1"/>
  <c r="W7" i="2" s="1"/>
  <c r="G21" i="2"/>
  <c r="G7" i="2" s="1"/>
  <c r="W43" i="2"/>
  <c r="W42" i="2" s="1"/>
  <c r="G42" i="2"/>
  <c r="K6" i="2"/>
  <c r="K5" i="2" s="1"/>
  <c r="R7" i="2"/>
  <c r="R6" i="2" s="1"/>
  <c r="R5" i="2" s="1"/>
  <c r="G6" i="2" l="1"/>
  <c r="W37" i="2"/>
  <c r="J5" i="2"/>
  <c r="W6" i="2" l="1"/>
  <c r="G5" i="2"/>
  <c r="W5" i="2" s="1"/>
</calcChain>
</file>

<file path=xl/sharedStrings.xml><?xml version="1.0" encoding="utf-8"?>
<sst xmlns="http://schemas.openxmlformats.org/spreadsheetml/2006/main" count="379" uniqueCount="223">
  <si>
    <t xml:space="preserve">Universidad Tecnológica del Cibao Oriental </t>
  </si>
  <si>
    <t>Avenida Universitaria, No. 100, Cotuí, provincia Sánchez Ramírez</t>
  </si>
  <si>
    <t xml:space="preserve"> Tels.: (809) 585-2291, ext. 243 y Fax. (809) 240-0603</t>
  </si>
  <si>
    <t>Tipo</t>
  </si>
  <si>
    <t>Objeto</t>
  </si>
  <si>
    <t>Cuenta</t>
  </si>
  <si>
    <t>Subcuenta</t>
  </si>
  <si>
    <t>Auxiliar</t>
  </si>
  <si>
    <t>Detalle</t>
  </si>
  <si>
    <t xml:space="preserve"> Rectoría</t>
  </si>
  <si>
    <t xml:space="preserve"> CIGITECO</t>
  </si>
  <si>
    <t>Vicerrectoría 4</t>
  </si>
  <si>
    <t xml:space="preserve"> Administración y Finanza</t>
  </si>
  <si>
    <t xml:space="preserve"> Vicerrectoría Académica</t>
  </si>
  <si>
    <t>Admisiones y Registro</t>
  </si>
  <si>
    <t xml:space="preserve"> Facultad de Ciencias Juridicas y Económicas</t>
  </si>
  <si>
    <t>Facultad de Ciencias y Humanidades</t>
  </si>
  <si>
    <t xml:space="preserve"> Facultad de Ingeniería y Recursos Naturales</t>
  </si>
  <si>
    <t xml:space="preserve"> Politécnico</t>
  </si>
  <si>
    <t>Vicerrectoría 3</t>
  </si>
  <si>
    <t xml:space="preserve">Postgrado y Educación Continuada </t>
  </si>
  <si>
    <t xml:space="preserve">  Investigacion  </t>
  </si>
  <si>
    <t>Extensión</t>
  </si>
  <si>
    <t>Planificación y Desarrollo</t>
  </si>
  <si>
    <t>Total</t>
  </si>
  <si>
    <t>Total General</t>
  </si>
  <si>
    <t>Remuneraciones y Contrataciones</t>
  </si>
  <si>
    <t xml:space="preserve"> Remuneraciones </t>
  </si>
  <si>
    <t>Remuneraciones al Personal Fijo</t>
  </si>
  <si>
    <t>01</t>
  </si>
  <si>
    <t>Remuneración Personal  Administrativo</t>
  </si>
  <si>
    <t>04</t>
  </si>
  <si>
    <t xml:space="preserve"> Remuneración Personal  Docente</t>
  </si>
  <si>
    <t>05</t>
  </si>
  <si>
    <t xml:space="preserve"> Incentivos y escalafón</t>
  </si>
  <si>
    <t>09</t>
  </si>
  <si>
    <t>Sueldo a  Docentes con labor Administrativa</t>
  </si>
  <si>
    <t xml:space="preserve"> Remuneración a Personal de Carácter transitorio</t>
  </si>
  <si>
    <t>Personas Igualadas</t>
  </si>
  <si>
    <t>Personal en Períodos probatorios</t>
  </si>
  <si>
    <t>06</t>
  </si>
  <si>
    <t>Jornales</t>
  </si>
  <si>
    <t>08</t>
  </si>
  <si>
    <t>Personal de carácter temporal</t>
  </si>
  <si>
    <t>Personal de carácter Eventual</t>
  </si>
  <si>
    <t>Sueldo de Personal Fijo en tramite de pensiones</t>
  </si>
  <si>
    <t>Sueldo al personal fijo en tramites de pensiones</t>
  </si>
  <si>
    <t>Sueldo anual No 13</t>
  </si>
  <si>
    <t>Sueldo Anual No 13 de empleados Administrativos</t>
  </si>
  <si>
    <t>02</t>
  </si>
  <si>
    <t>Sueldo Anual No 13 de empleados Personal  Docente</t>
  </si>
  <si>
    <t>Prestaciones económicas</t>
  </si>
  <si>
    <t>03</t>
  </si>
  <si>
    <t>Prestación laboral por desvinculación</t>
  </si>
  <si>
    <t>Sobresueldos</t>
  </si>
  <si>
    <t>Compensación</t>
  </si>
  <si>
    <t>Compensación por gastos de alimentación</t>
  </si>
  <si>
    <t>Pago de trabajos Extraordinarios</t>
  </si>
  <si>
    <t>Dietas y gastos de representación</t>
  </si>
  <si>
    <t>Diestas</t>
  </si>
  <si>
    <t>Dietas en el País</t>
  </si>
  <si>
    <t>1</t>
  </si>
  <si>
    <t>Dietas en el exterior</t>
  </si>
  <si>
    <t>Representación</t>
  </si>
  <si>
    <t>Gastos de representación en el país</t>
  </si>
  <si>
    <t>Gastos de Representaciónen el Exterior</t>
  </si>
  <si>
    <t>Contribuciones a la Seguridad Social</t>
  </si>
  <si>
    <t>Contribuciones al Seguro de Salud</t>
  </si>
  <si>
    <t>Contribuciones al Seguro de Pensiones</t>
  </si>
  <si>
    <t>Contribuciones al Seguro de pensiones</t>
  </si>
  <si>
    <t>Contribuciones al Seguro de Riesgo Laboral</t>
  </si>
  <si>
    <t>Contribuciones al Seguro de Riego Laboral</t>
  </si>
  <si>
    <t>Contrataciones de Servicios</t>
  </si>
  <si>
    <t>Radiocomunicaciones</t>
  </si>
  <si>
    <t>Servicios de telefonía de larga Distancia</t>
  </si>
  <si>
    <t>Teléfono Local</t>
  </si>
  <si>
    <t>Servicio telefono Local</t>
  </si>
  <si>
    <t>Telefax y Correos</t>
  </si>
  <si>
    <t>Servicios deTelefax y Correo</t>
  </si>
  <si>
    <t>Servicios de Internet y Televisión por Cable</t>
  </si>
  <si>
    <t>Electricidad</t>
  </si>
  <si>
    <t>Energía Eléctrica</t>
  </si>
  <si>
    <t>Agua</t>
  </si>
  <si>
    <t>Agua Potable</t>
  </si>
  <si>
    <t>Agua de consumo Humano (Tomar)</t>
  </si>
  <si>
    <t xml:space="preserve">Recolección de Residuos Sólidos </t>
  </si>
  <si>
    <t>Materiales y equipos de recolección de Residuos Sólidos</t>
  </si>
  <si>
    <t>Publicidad, Impresión y Encuadernación</t>
  </si>
  <si>
    <t>Publicidad y Propaganda</t>
  </si>
  <si>
    <t>Impresión, encuadernación y rotulación</t>
  </si>
  <si>
    <t>Transporte y Almacenaje</t>
  </si>
  <si>
    <t>Fletes</t>
  </si>
  <si>
    <t>Peajes</t>
  </si>
  <si>
    <t>Alquileres y Rentas</t>
  </si>
  <si>
    <t>Alquileres de máquinas y equipos de producción</t>
  </si>
  <si>
    <t xml:space="preserve">Alquileres de Equipos Electricos </t>
  </si>
  <si>
    <t>Alquileres de Equipos</t>
  </si>
  <si>
    <t>Alquileres de equipos de comunicación</t>
  </si>
  <si>
    <t>Alquileres de equipos de transporte, tracción y elevación</t>
  </si>
  <si>
    <t>Derechos de Usos</t>
  </si>
  <si>
    <t>Licencias Informáticas</t>
  </si>
  <si>
    <t>Servicios de Conservación, reparaciones menores e instalaciones temporales</t>
  </si>
  <si>
    <t>Contratación de mantenimiento y reparaciones menores en edificaciones</t>
  </si>
  <si>
    <t>Mantenimiento y reparaciones menores en edificaciones</t>
  </si>
  <si>
    <t>Mantenimiento y reparaciones de obras de ingeniería Civil o Infraestructura</t>
  </si>
  <si>
    <t>Mantenimiento y reparaciones de instalaciones eléctricas</t>
  </si>
  <si>
    <t>Mantenimiento, reparaciones, servicios de pintura y sus derivados</t>
  </si>
  <si>
    <t>Mantenimiento y reparaciones maquinarias y equipos</t>
  </si>
  <si>
    <t>Mantenimiento y reparación de muebles y equipos de oficina</t>
  </si>
  <si>
    <t>Mantenimiento y reparación de equipo para computación y redes</t>
  </si>
  <si>
    <t>Mantenimiento y reparación de equipos médicos, sanitarios y de laboratorio</t>
  </si>
  <si>
    <t>Mantenimiento y reparación de equipo de comunicación</t>
  </si>
  <si>
    <t>Mantenimiento y reparación de equipos de transporte, tracción y elevación</t>
  </si>
  <si>
    <t>Otros Servicios no Incluidos en Conceptos Anteriores</t>
  </si>
  <si>
    <t>Gastos y representación judiciales</t>
  </si>
  <si>
    <t>Gastos judiciales</t>
  </si>
  <si>
    <t>Comisiones y Gastos</t>
  </si>
  <si>
    <t>Gastos por cancelación de certificados de inversión</t>
  </si>
  <si>
    <t>Fumigación, lavandería, limpieza e higiene</t>
  </si>
  <si>
    <t>Fumigación</t>
  </si>
  <si>
    <t>Lavandería</t>
  </si>
  <si>
    <t>Limpieza e higiene</t>
  </si>
  <si>
    <t>Servicio de organización de eventos, festividades y actividades de entretenimiento</t>
  </si>
  <si>
    <t>Eventos Generales</t>
  </si>
  <si>
    <t>Festividades</t>
  </si>
  <si>
    <t>Actuacciones Deportivas</t>
  </si>
  <si>
    <t xml:space="preserve">Actuacciones  Artisticas </t>
  </si>
  <si>
    <t>Servicios Técnicos y Profesionales</t>
  </si>
  <si>
    <t>Servicios de Ingeniería, arquitectura, investigaciones y análisis de factibilidad</t>
  </si>
  <si>
    <t>Servicios de contabilidad y auditoría</t>
  </si>
  <si>
    <t>Servicios de capacitación</t>
  </si>
  <si>
    <t>Servicios de informática y sistemas computarizados</t>
  </si>
  <si>
    <t>Otras Contrataciones de Servicios</t>
  </si>
  <si>
    <t>Otras contrataciones de servicios</t>
  </si>
  <si>
    <t xml:space="preserve">Servicios de grabaciones y transmisión de jornadas Academicas </t>
  </si>
  <si>
    <t>Materiales y Suministros</t>
  </si>
  <si>
    <t>Alimentos y Productos Agroforestales</t>
  </si>
  <si>
    <t>Productos Agroforestales y pecuarios</t>
  </si>
  <si>
    <t>Productos Agrícolas</t>
  </si>
  <si>
    <t>Productos Forestales</t>
  </si>
  <si>
    <t>Textiles y vesttuarios</t>
  </si>
  <si>
    <t>Prendas y Accesorios de vestir</t>
  </si>
  <si>
    <t>Calzados</t>
  </si>
  <si>
    <t>Productos de papel, Cartón e Impresos</t>
  </si>
  <si>
    <t>Papel de escritorio</t>
  </si>
  <si>
    <t>Productos de Artes Gráficos</t>
  </si>
  <si>
    <t>Productos gráficos</t>
  </si>
  <si>
    <t>Libros, Revistas y Periódicos</t>
  </si>
  <si>
    <t>Textos de Enseñanzas</t>
  </si>
  <si>
    <t>Productos de Cuero, caucho y plásticos</t>
  </si>
  <si>
    <t>Llantas y Neumáticos</t>
  </si>
  <si>
    <t>Artículos de Plásticos</t>
  </si>
  <si>
    <t>Productos de Minerales, metálicos y No metálicos</t>
  </si>
  <si>
    <t>Productos metalicos y sus derivados</t>
  </si>
  <si>
    <t>Herramientas menores</t>
  </si>
  <si>
    <t>Combustibles, lubricantes, productos químicos y conexos</t>
  </si>
  <si>
    <t>Combustibles y lubricantes</t>
  </si>
  <si>
    <t>Gasolina</t>
  </si>
  <si>
    <t>Gasoil</t>
  </si>
  <si>
    <t>Gas GLP</t>
  </si>
  <si>
    <t>Aceites y grasas</t>
  </si>
  <si>
    <t>Productos Químicos y Conexos</t>
  </si>
  <si>
    <t>Abonos y Fertilizantes</t>
  </si>
  <si>
    <t>Insecticidas, Fungicidas, herbicidas y otros</t>
  </si>
  <si>
    <t>07</t>
  </si>
  <si>
    <t>Productos químicos para saneamiento de las aguas</t>
  </si>
  <si>
    <t>Productos y útiles Varios</t>
  </si>
  <si>
    <t>Materiales de Limpieza e Higiene</t>
  </si>
  <si>
    <t>Útiles destinados a actividades deportivas, culturales y recreativas</t>
  </si>
  <si>
    <t>Útiles de cocina y comedor</t>
  </si>
  <si>
    <t>Productos eléctricos y afines</t>
  </si>
  <si>
    <t>Transferencias corrientes</t>
  </si>
  <si>
    <t>Tranferencias Corrientes al sector Privado</t>
  </si>
  <si>
    <t xml:space="preserve">Afiliaciones </t>
  </si>
  <si>
    <t>ADRU</t>
  </si>
  <si>
    <t>SODOGEO</t>
  </si>
  <si>
    <t>Afiliación Asociación de Iberoamérica de Postgrado</t>
  </si>
  <si>
    <t>OUI</t>
  </si>
  <si>
    <t xml:space="preserve">Becas y Viajes de Estudios </t>
  </si>
  <si>
    <t>Becas Nacionales</t>
  </si>
  <si>
    <t>Becas Internacionales</t>
  </si>
  <si>
    <t>Bienes Muebles, inmuebles e intangibles</t>
  </si>
  <si>
    <t>Mobiliarios y Equipos</t>
  </si>
  <si>
    <t>Muebles, equipos de oficina y estantería</t>
  </si>
  <si>
    <t>Equipos de tecnología de la información y comunicación</t>
  </si>
  <si>
    <t xml:space="preserve">Mobiliarios, Equipos Audiovisual, Recreativos y Educacional </t>
  </si>
  <si>
    <t>Equipos y Aparatos Audiovisuales</t>
  </si>
  <si>
    <t>Equipos y Aparatos deportivos</t>
  </si>
  <si>
    <t>+</t>
  </si>
  <si>
    <t>Cámaras fotográficas y de video</t>
  </si>
  <si>
    <t>Equipo e Instrumental, Cientifico y Laboratorio</t>
  </si>
  <si>
    <t>Equipo médico y de laboratorio</t>
  </si>
  <si>
    <t xml:space="preserve"> Instrumental médico y de laboratorio</t>
  </si>
  <si>
    <t>Equipo e instrumentos de medición Científica</t>
  </si>
  <si>
    <t>Vehículos y Equipo de transporte, tracción y Elevación</t>
  </si>
  <si>
    <t>Automóviles y camiones</t>
  </si>
  <si>
    <t>Otros Equipos de transporte</t>
  </si>
  <si>
    <t>Maquinaria, Otros  Equipos y Herramientas</t>
  </si>
  <si>
    <t>Maquinarias y equipo Agropecuario</t>
  </si>
  <si>
    <t>Sistemas y equipos de Climatización</t>
  </si>
  <si>
    <t>Equipo de Comunicación, telecomunicaciones y señalización</t>
  </si>
  <si>
    <t>Equipo de generación Eléctrica</t>
  </si>
  <si>
    <t>Máquinas y Herramientas</t>
  </si>
  <si>
    <t>Máquinas-herramientas</t>
  </si>
  <si>
    <t>Bienes Intangibles</t>
  </si>
  <si>
    <t>Investigación y Desarrollo</t>
  </si>
  <si>
    <t>Investigación y desarrollo</t>
  </si>
  <si>
    <t>Programas de informática y base de datos</t>
  </si>
  <si>
    <t>Bases de  Datos</t>
  </si>
  <si>
    <t>Estudios de Previsión</t>
  </si>
  <si>
    <t>Obras</t>
  </si>
  <si>
    <t>Obras en Edificaciones</t>
  </si>
  <si>
    <t>Obras para edificación residencial (viviendas)</t>
  </si>
  <si>
    <t>Obras para edificación residencial (viviendas</t>
  </si>
  <si>
    <t>Supervisión e inspección de obras en edificaciones</t>
  </si>
  <si>
    <t>Infraestructuras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</si>
  <si>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</si>
  <si>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</si>
  <si>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</si>
  <si>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</si>
  <si>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</si>
  <si>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y plantaciones agrícolas</t>
  </si>
  <si>
    <t>Obras urbanísticas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</si>
</sst>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  <charset val="1"/>
    </font>
    <font>
      <b/>
      <sz val="11"/>
      <color rgb="FF0D0D0D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3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3" fillId="0" borderId="1" xfId="0" applyFont="1" applyBorder="1"/>
    <xf numFmtId="0" fontId="4" fillId="4" borderId="1" xfId="0" applyFont="1" applyFill="1" applyBorder="1"/>
    <xf numFmtId="0" fontId="4" fillId="5" borderId="1" xfId="0" applyFont="1" applyFill="1" applyBorder="1"/>
    <xf numFmtId="4" fontId="4" fillId="5" borderId="1" xfId="0" applyNumberFormat="1" applyFont="1" applyFill="1" applyBorder="1"/>
    <xf numFmtId="4" fontId="4" fillId="4" borderId="0" xfId="0" applyNumberFormat="1" applyFont="1" applyFill="1"/>
    <xf numFmtId="4" fontId="4" fillId="4" borderId="0" xfId="0" applyNumberFormat="1" applyFont="1" applyFill="1" applyAlignment="1">
      <alignment horizontal="right" vertical="center" wrapText="1"/>
    </xf>
    <xf numFmtId="0" fontId="4" fillId="5" borderId="2" xfId="0" applyFont="1" applyFill="1" applyBorder="1"/>
    <xf numFmtId="0" fontId="4" fillId="4" borderId="2" xfId="0" applyFont="1" applyFill="1" applyBorder="1"/>
    <xf numFmtId="0" fontId="3" fillId="0" borderId="2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4" fillId="5" borderId="0" xfId="0" applyNumberFormat="1" applyFont="1" applyFill="1"/>
    <xf numFmtId="0" fontId="5" fillId="7" borderId="2" xfId="0" applyFont="1" applyFill="1" applyBorder="1" applyAlignment="1">
      <alignment horizontal="left" vertical="center" wrapText="1"/>
    </xf>
    <xf numFmtId="4" fontId="8" fillId="7" borderId="1" xfId="1" applyNumberFormat="1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vertical="center" wrapText="1"/>
    </xf>
    <xf numFmtId="4" fontId="5" fillId="2" borderId="1" xfId="2" applyNumberFormat="1" applyFont="1" applyFill="1" applyBorder="1" applyAlignment="1">
      <alignment vertical="center" wrapText="1"/>
    </xf>
    <xf numFmtId="0" fontId="5" fillId="5" borderId="2" xfId="2" applyFont="1" applyFill="1" applyBorder="1" applyAlignment="1">
      <alignment vertical="center" wrapText="1"/>
    </xf>
    <xf numFmtId="4" fontId="5" fillId="5" borderId="1" xfId="2" applyNumberFormat="1" applyFont="1" applyFill="1" applyBorder="1" applyAlignment="1">
      <alignment horizontal="right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vertical="center" wrapText="1"/>
    </xf>
    <xf numFmtId="4" fontId="5" fillId="4" borderId="1" xfId="2" applyNumberFormat="1" applyFont="1" applyFill="1" applyBorder="1" applyAlignment="1">
      <alignment vertical="center" wrapText="1"/>
    </xf>
    <xf numFmtId="0" fontId="9" fillId="0" borderId="2" xfId="2" applyFont="1" applyBorder="1" applyAlignment="1">
      <alignment horizontal="left" vertical="center" wrapText="1"/>
    </xf>
    <xf numFmtId="164" fontId="9" fillId="0" borderId="1" xfId="1" applyNumberFormat="1" applyFont="1" applyFill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left" vertical="center"/>
    </xf>
    <xf numFmtId="4" fontId="4" fillId="4" borderId="1" xfId="0" applyNumberFormat="1" applyFont="1" applyFill="1" applyBorder="1"/>
    <xf numFmtId="0" fontId="3" fillId="0" borderId="2" xfId="0" applyFont="1" applyBorder="1" applyAlignment="1">
      <alignment wrapText="1"/>
    </xf>
    <xf numFmtId="0" fontId="5" fillId="5" borderId="1" xfId="2" applyFont="1" applyFill="1" applyBorder="1" applyAlignment="1">
      <alignment horizontal="center" vertical="center" wrapText="1"/>
    </xf>
    <xf numFmtId="4" fontId="4" fillId="5" borderId="1" xfId="2" applyNumberFormat="1" applyFont="1" applyFill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4" fontId="5" fillId="5" borderId="1" xfId="2" applyNumberFormat="1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/>
    <xf numFmtId="4" fontId="4" fillId="3" borderId="1" xfId="0" applyNumberFormat="1" applyFont="1" applyFill="1" applyBorder="1"/>
    <xf numFmtId="0" fontId="5" fillId="5" borderId="1" xfId="2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/>
    <xf numFmtId="4" fontId="4" fillId="5" borderId="1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justify" vertical="center" wrapText="1"/>
    </xf>
    <xf numFmtId="0" fontId="4" fillId="4" borderId="2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4" borderId="0" xfId="0" applyFont="1" applyFill="1"/>
    <xf numFmtId="4" fontId="3" fillId="0" borderId="1" xfId="0" applyNumberFormat="1" applyFont="1" applyBorder="1" applyAlignment="1">
      <alignment horizontal="right" vertical="center" wrapText="1"/>
    </xf>
    <xf numFmtId="4" fontId="4" fillId="4" borderId="3" xfId="0" applyNumberFormat="1" applyFont="1" applyFill="1" applyBorder="1"/>
    <xf numFmtId="4" fontId="3" fillId="0" borderId="2" xfId="0" applyNumberFormat="1" applyFont="1" applyBorder="1"/>
    <xf numFmtId="4" fontId="4" fillId="4" borderId="2" xfId="0" applyNumberFormat="1" applyFont="1" applyFill="1" applyBorder="1"/>
    <xf numFmtId="4" fontId="4" fillId="5" borderId="2" xfId="0" applyNumberFormat="1" applyFont="1" applyFill="1" applyBorder="1"/>
    <xf numFmtId="0" fontId="4" fillId="4" borderId="1" xfId="0" applyFont="1" applyFill="1" applyBorder="1" applyAlignment="1">
      <alignment horizontal="justify" vertical="center" wrapText="1"/>
    </xf>
    <xf numFmtId="4" fontId="3" fillId="0" borderId="2" xfId="0" applyNumberFormat="1" applyFont="1" applyBorder="1" applyAlignment="1">
      <alignment vertical="center"/>
    </xf>
    <xf numFmtId="4" fontId="4" fillId="4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/>
    <xf numFmtId="4" fontId="9" fillId="0" borderId="1" xfId="0" applyNumberFormat="1" applyFont="1" applyBorder="1" applyAlignment="1">
      <alignment horizontal="right" vertical="center"/>
    </xf>
    <xf numFmtId="164" fontId="5" fillId="5" borderId="2" xfId="2" applyNumberFormat="1" applyFont="1" applyFill="1" applyBorder="1" applyAlignment="1">
      <alignment vertical="center" wrapText="1"/>
    </xf>
    <xf numFmtId="4" fontId="0" fillId="0" borderId="0" xfId="0" applyNumberFormat="1"/>
    <xf numFmtId="164" fontId="0" fillId="0" borderId="0" xfId="0" applyNumberFormat="1"/>
    <xf numFmtId="4" fontId="10" fillId="0" borderId="0" xfId="0" applyNumberFormat="1" applyFont="1"/>
    <xf numFmtId="4" fontId="11" fillId="9" borderId="1" xfId="1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textRotation="90"/>
    </xf>
    <xf numFmtId="0" fontId="11" fillId="9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CFF33"/>
      <color rgb="FFCCFF66"/>
      <color rgb="FFFF66CC"/>
      <color rgb="FF00FFFF"/>
      <color rgb="FFCCCC00"/>
      <color rgb="FFFFCC00"/>
      <color rgb="FFFF66FF"/>
      <color rgb="FF99CCFF"/>
      <color rgb="FFCC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6"/>
  <sheetViews>
    <sheetView tabSelected="1" zoomScaleNormal="100" workbookViewId="0">
      <selection activeCell="H8" sqref="H8"/>
    </sheetView>
  </sheetViews>
  <sheetFormatPr baseColWidth="10" defaultColWidth="11.42578125" defaultRowHeight="15" x14ac:dyDescent="0.25"/>
  <cols>
    <col min="1" max="1" width="2.140625" style="85" customWidth="1"/>
    <col min="2" max="2" width="4.7109375" style="85" customWidth="1"/>
    <col min="3" max="3" width="3" style="85" customWidth="1"/>
    <col min="4" max="5" width="3.140625" style="85" customWidth="1"/>
    <col min="6" max="6" width="54.7109375" customWidth="1"/>
    <col min="7" max="7" width="15.140625" bestFit="1" customWidth="1"/>
    <col min="8" max="10" width="15.140625" customWidth="1"/>
    <col min="11" max="11" width="18" bestFit="1" customWidth="1"/>
    <col min="12" max="13" width="15.140625" customWidth="1"/>
    <col min="14" max="14" width="19.42578125" customWidth="1"/>
    <col min="15" max="15" width="21.85546875" bestFit="1" customWidth="1"/>
    <col min="16" max="16" width="13" bestFit="1" customWidth="1"/>
    <col min="17" max="17" width="15.140625" bestFit="1" customWidth="1"/>
    <col min="18" max="18" width="18.85546875" bestFit="1" customWidth="1"/>
    <col min="19" max="21" width="18" customWidth="1"/>
    <col min="22" max="22" width="16.85546875" customWidth="1"/>
    <col min="23" max="23" width="16.5703125" bestFit="1" customWidth="1"/>
    <col min="24" max="25" width="14.85546875" bestFit="1" customWidth="1"/>
  </cols>
  <sheetData>
    <row r="1" spans="1:25" ht="28.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</row>
    <row r="2" spans="1:25" ht="26.25" customHeight="1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spans="1:25" ht="20.25" x14ac:dyDescent="0.3">
      <c r="A3" s="87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</row>
    <row r="4" spans="1:25" ht="57" x14ac:dyDescent="0.25">
      <c r="A4" s="83" t="s">
        <v>3</v>
      </c>
      <c r="B4" s="83" t="s">
        <v>4</v>
      </c>
      <c r="C4" s="83" t="s">
        <v>5</v>
      </c>
      <c r="D4" s="83" t="s">
        <v>6</v>
      </c>
      <c r="E4" s="83" t="s">
        <v>7</v>
      </c>
      <c r="F4" s="84" t="s">
        <v>8</v>
      </c>
      <c r="G4" s="81" t="s">
        <v>9</v>
      </c>
      <c r="H4" s="81" t="s">
        <v>10</v>
      </c>
      <c r="I4" s="81" t="s">
        <v>11</v>
      </c>
      <c r="J4" s="82" t="s">
        <v>12</v>
      </c>
      <c r="K4" s="81" t="s">
        <v>13</v>
      </c>
      <c r="L4" s="81" t="s">
        <v>14</v>
      </c>
      <c r="M4" s="82" t="s">
        <v>15</v>
      </c>
      <c r="N4" s="82" t="s">
        <v>16</v>
      </c>
      <c r="O4" s="82" t="s">
        <v>17</v>
      </c>
      <c r="P4" s="81" t="s">
        <v>18</v>
      </c>
      <c r="Q4" s="81" t="s">
        <v>19</v>
      </c>
      <c r="R4" s="81" t="s">
        <v>20</v>
      </c>
      <c r="S4" s="81" t="s">
        <v>21</v>
      </c>
      <c r="T4" s="81" t="s">
        <v>22</v>
      </c>
      <c r="U4" s="81" t="s">
        <v>11</v>
      </c>
      <c r="V4" s="81" t="s">
        <v>23</v>
      </c>
      <c r="W4" s="81" t="s">
        <v>24</v>
      </c>
    </row>
    <row r="5" spans="1:25" x14ac:dyDescent="0.25">
      <c r="A5" s="13"/>
      <c r="B5" s="13"/>
      <c r="C5" s="13"/>
      <c r="D5" s="13"/>
      <c r="E5" s="13"/>
      <c r="F5" s="22" t="s">
        <v>25</v>
      </c>
      <c r="G5" s="23">
        <f t="shared" ref="G5:V5" si="0">G6+G44+G118+G164+G174+G217</f>
        <v>179101040.71266162</v>
      </c>
      <c r="H5" s="23">
        <f t="shared" si="0"/>
        <v>29408859.708799999</v>
      </c>
      <c r="I5" s="23">
        <f t="shared" si="0"/>
        <v>4749910.9759999998</v>
      </c>
      <c r="J5" s="23">
        <f t="shared" si="0"/>
        <v>55266868.742089331</v>
      </c>
      <c r="K5" s="23">
        <f t="shared" si="0"/>
        <v>20425139.268123735</v>
      </c>
      <c r="L5" s="23">
        <f t="shared" si="0"/>
        <v>24503037.073161602</v>
      </c>
      <c r="M5" s="23">
        <f t="shared" si="0"/>
        <v>18600569.979120001</v>
      </c>
      <c r="N5" s="23">
        <f t="shared" si="0"/>
        <v>64409438.872000001</v>
      </c>
      <c r="O5" s="23">
        <f t="shared" si="0"/>
        <v>77093017.308106691</v>
      </c>
      <c r="P5" s="23">
        <f t="shared" si="0"/>
        <v>1461035.0928</v>
      </c>
      <c r="Q5" s="23">
        <f t="shared" si="0"/>
        <v>6901818.9759999998</v>
      </c>
      <c r="R5" s="23">
        <f t="shared" si="0"/>
        <v>39005363.89965333</v>
      </c>
      <c r="S5" s="23">
        <f t="shared" si="0"/>
        <v>21195498.914666668</v>
      </c>
      <c r="T5" s="23">
        <f t="shared" si="0"/>
        <v>13282186.499600001</v>
      </c>
      <c r="U5" s="23">
        <f t="shared" si="0"/>
        <v>4494680.9759999998</v>
      </c>
      <c r="V5" s="23">
        <f t="shared" si="0"/>
        <v>55013042.330300003</v>
      </c>
      <c r="W5" s="23">
        <f>SUM(G5:V5)</f>
        <v>614911509.32908297</v>
      </c>
      <c r="X5" s="80"/>
      <c r="Y5" s="78"/>
    </row>
    <row r="6" spans="1:25" x14ac:dyDescent="0.25">
      <c r="A6" s="16">
        <v>2</v>
      </c>
      <c r="B6" s="16">
        <v>1</v>
      </c>
      <c r="C6" s="16"/>
      <c r="D6" s="16"/>
      <c r="E6" s="13"/>
      <c r="F6" s="24" t="s">
        <v>26</v>
      </c>
      <c r="G6" s="25">
        <f>G7+G24+G26+G30+G37</f>
        <v>22351311.005161602</v>
      </c>
      <c r="H6" s="25">
        <f t="shared" ref="H6:V6" si="1">H7+H24+H26+H30+H37</f>
        <v>5199775.9488000004</v>
      </c>
      <c r="I6" s="25">
        <f t="shared" si="1"/>
        <v>3461237.9759999998</v>
      </c>
      <c r="J6" s="25">
        <f t="shared" si="1"/>
        <v>15819316.313589331</v>
      </c>
      <c r="K6" s="25">
        <f t="shared" si="1"/>
        <v>7519874.8781237332</v>
      </c>
      <c r="L6" s="25">
        <f t="shared" si="1"/>
        <v>13534350.0731616</v>
      </c>
      <c r="M6" s="25">
        <f t="shared" si="1"/>
        <v>16775261.979119999</v>
      </c>
      <c r="N6" s="25">
        <f t="shared" si="1"/>
        <v>53395455.872000001</v>
      </c>
      <c r="O6" s="25">
        <f t="shared" si="1"/>
        <v>36603505.928106673</v>
      </c>
      <c r="P6" s="25">
        <f t="shared" si="1"/>
        <v>1461035.0928</v>
      </c>
      <c r="Q6" s="25">
        <f t="shared" si="1"/>
        <v>5969665.9759999998</v>
      </c>
      <c r="R6" s="25">
        <f t="shared" si="1"/>
        <v>22093164.549653329</v>
      </c>
      <c r="S6" s="25">
        <f t="shared" si="1"/>
        <v>6306902.9146666666</v>
      </c>
      <c r="T6" s="25">
        <f t="shared" si="1"/>
        <v>7358385.8496000003</v>
      </c>
      <c r="U6" s="25">
        <f t="shared" si="1"/>
        <v>4021237.9759999998</v>
      </c>
      <c r="V6" s="25">
        <f t="shared" si="1"/>
        <v>5732286.4967999998</v>
      </c>
      <c r="W6" s="25">
        <f>SUM(G6:V6)</f>
        <v>227602768.8295829</v>
      </c>
      <c r="X6" s="78"/>
    </row>
    <row r="7" spans="1:25" ht="16.5" customHeight="1" x14ac:dyDescent="0.25">
      <c r="A7" s="16">
        <v>2</v>
      </c>
      <c r="B7" s="16">
        <v>1</v>
      </c>
      <c r="C7" s="16">
        <v>1</v>
      </c>
      <c r="D7" s="16"/>
      <c r="E7" s="13"/>
      <c r="F7" s="26" t="s">
        <v>27</v>
      </c>
      <c r="G7" s="27">
        <f>+G8+G13+G19+G21</f>
        <v>15238349.075999999</v>
      </c>
      <c r="H7" s="27">
        <f t="shared" ref="H7:W7" si="2">+H8+H13+H19+H21</f>
        <v>4512768</v>
      </c>
      <c r="I7" s="27">
        <f t="shared" si="2"/>
        <v>3051255</v>
      </c>
      <c r="J7" s="27">
        <f t="shared" si="2"/>
        <v>13533974.49333333</v>
      </c>
      <c r="K7" s="27">
        <f t="shared" si="2"/>
        <v>6763284.9773333333</v>
      </c>
      <c r="L7" s="27">
        <f t="shared" si="2"/>
        <v>11612629.075999999</v>
      </c>
      <c r="M7" s="27">
        <f t="shared" si="2"/>
        <v>14658425.699999999</v>
      </c>
      <c r="N7" s="27">
        <f t="shared" si="2"/>
        <v>46592420</v>
      </c>
      <c r="O7" s="27">
        <f t="shared" si="2"/>
        <v>31743345.06666667</v>
      </c>
      <c r="P7" s="27">
        <f t="shared" si="2"/>
        <v>1277358</v>
      </c>
      <c r="Q7" s="27">
        <f t="shared" si="2"/>
        <v>5265155</v>
      </c>
      <c r="R7" s="27">
        <f t="shared" si="2"/>
        <v>18295888.533333331</v>
      </c>
      <c r="S7" s="27">
        <f t="shared" si="2"/>
        <v>5789896.666666667</v>
      </c>
      <c r="T7" s="27">
        <f t="shared" si="2"/>
        <v>6390271</v>
      </c>
      <c r="U7" s="27">
        <f t="shared" si="2"/>
        <v>3611255</v>
      </c>
      <c r="V7" s="27">
        <f t="shared" si="2"/>
        <v>5032999.5</v>
      </c>
      <c r="W7" s="27">
        <f t="shared" si="2"/>
        <v>193369275.08933333</v>
      </c>
      <c r="X7" s="78"/>
    </row>
    <row r="8" spans="1:25" ht="18" customHeight="1" x14ac:dyDescent="0.25">
      <c r="A8" s="28">
        <v>2</v>
      </c>
      <c r="B8" s="28">
        <v>1</v>
      </c>
      <c r="C8" s="28">
        <v>1</v>
      </c>
      <c r="D8" s="28">
        <v>1</v>
      </c>
      <c r="E8" s="28"/>
      <c r="F8" s="29" t="s">
        <v>28</v>
      </c>
      <c r="G8" s="30">
        <f>SUM(G9:G12)</f>
        <v>12882322.223999999</v>
      </c>
      <c r="H8" s="30">
        <f t="shared" ref="H8:V8" si="3">SUM(H9:H12)</f>
        <v>4165632</v>
      </c>
      <c r="I8" s="30">
        <f t="shared" si="3"/>
        <v>2828535</v>
      </c>
      <c r="J8" s="30">
        <f t="shared" si="3"/>
        <v>11260071.839999998</v>
      </c>
      <c r="K8" s="30">
        <f t="shared" si="3"/>
        <v>3118378.0559999999</v>
      </c>
      <c r="L8" s="30">
        <f t="shared" si="3"/>
        <v>10475842.223999999</v>
      </c>
      <c r="M8" s="30">
        <f t="shared" si="3"/>
        <v>13534546.799999999</v>
      </c>
      <c r="N8" s="30">
        <f t="shared" si="3"/>
        <v>43012080</v>
      </c>
      <c r="O8" s="30">
        <f t="shared" si="3"/>
        <v>29105241.600000001</v>
      </c>
      <c r="P8" s="30">
        <f t="shared" si="3"/>
        <v>1182792</v>
      </c>
      <c r="Q8" s="30">
        <f t="shared" si="3"/>
        <v>4748535</v>
      </c>
      <c r="R8" s="30">
        <f t="shared" si="3"/>
        <v>16892204.799999997</v>
      </c>
      <c r="S8" s="30">
        <f t="shared" si="3"/>
        <v>1830720</v>
      </c>
      <c r="T8" s="30">
        <f t="shared" si="3"/>
        <v>4544544</v>
      </c>
      <c r="U8" s="30">
        <f t="shared" si="3"/>
        <v>2828535</v>
      </c>
      <c r="V8" s="30">
        <f t="shared" si="3"/>
        <v>4043352</v>
      </c>
      <c r="W8" s="30">
        <f>SUM(W9:W12)</f>
        <v>166453332.544</v>
      </c>
      <c r="X8" s="78"/>
      <c r="Y8" s="78"/>
    </row>
    <row r="9" spans="1:25" x14ac:dyDescent="0.25">
      <c r="A9" s="13">
        <v>2</v>
      </c>
      <c r="B9" s="13">
        <v>1</v>
      </c>
      <c r="C9" s="13">
        <v>1</v>
      </c>
      <c r="D9" s="13">
        <v>1</v>
      </c>
      <c r="E9" s="18" t="s">
        <v>29</v>
      </c>
      <c r="F9" s="31" t="s">
        <v>30</v>
      </c>
      <c r="G9" s="76">
        <f>(823405.71*12*(1.2)+(71200*12*1.2))</f>
        <v>12882322.223999999</v>
      </c>
      <c r="H9" s="32">
        <f>289280*12*1.2</f>
        <v>4165632</v>
      </c>
      <c r="I9" s="32">
        <f>+(165000+20600)*12*1.2</f>
        <v>2672640</v>
      </c>
      <c r="J9" s="32">
        <f>+(778616.1*12)*1.2</f>
        <v>11212071.839999998</v>
      </c>
      <c r="K9" s="76">
        <f>+((589877.99-123800)-260350)*12*1.2</f>
        <v>2962483.0559999999</v>
      </c>
      <c r="L9" s="76">
        <f>+(724155.71*12)*1.2</f>
        <v>10427842.223999999</v>
      </c>
      <c r="M9" s="32">
        <f>152350*12*1.2</f>
        <v>2193840</v>
      </c>
      <c r="N9" s="32">
        <f>386855*12*1.2</f>
        <v>5570712</v>
      </c>
      <c r="O9" s="32">
        <f>666155*12*1.2</f>
        <v>9592632</v>
      </c>
      <c r="P9" s="32">
        <f>78805*12*1.2</f>
        <v>1134792</v>
      </c>
      <c r="Q9" s="32">
        <f>+(165000+20600)*12*1.2</f>
        <v>2672640</v>
      </c>
      <c r="R9" s="32">
        <f>264105*12*1.2</f>
        <v>3803112</v>
      </c>
      <c r="S9" s="32">
        <f>+(123800*12)*1.2</f>
        <v>1782720</v>
      </c>
      <c r="T9" s="32">
        <f>312260*12*1.2</f>
        <v>4496544</v>
      </c>
      <c r="U9" s="32">
        <f>+(165000+20600)*12*1.2</f>
        <v>2672640</v>
      </c>
      <c r="V9" s="32">
        <f>+(101255+(45000*3)+(20600*2))*12*1.2</f>
        <v>3995352</v>
      </c>
      <c r="W9" s="14">
        <f>SUM(G9:V9)</f>
        <v>82237975.343999997</v>
      </c>
    </row>
    <row r="10" spans="1:25" x14ac:dyDescent="0.25">
      <c r="A10" s="13">
        <v>2</v>
      </c>
      <c r="B10" s="13">
        <v>1</v>
      </c>
      <c r="C10" s="13">
        <v>1</v>
      </c>
      <c r="D10" s="13">
        <v>1</v>
      </c>
      <c r="E10" s="18" t="s">
        <v>31</v>
      </c>
      <c r="F10" s="31" t="s">
        <v>32</v>
      </c>
      <c r="G10" s="33"/>
      <c r="H10" s="33"/>
      <c r="I10" s="33"/>
      <c r="J10" s="33"/>
      <c r="K10" s="33"/>
      <c r="L10" s="33"/>
      <c r="M10" s="32">
        <f>7810589*1.2</f>
        <v>9372706.7999999989</v>
      </c>
      <c r="N10" s="32">
        <f>31161140*1.2</f>
        <v>37393368</v>
      </c>
      <c r="O10" s="32">
        <f>13820508*1.2</f>
        <v>16584609.6</v>
      </c>
      <c r="P10" s="33"/>
      <c r="Q10" s="32"/>
      <c r="R10" s="32">
        <f>+((4071165+4421204)*1.2)+2850250</f>
        <v>13041092.799999999</v>
      </c>
      <c r="S10" s="33"/>
      <c r="T10" s="33"/>
      <c r="U10" s="33"/>
      <c r="V10" s="33"/>
      <c r="W10" s="14">
        <f>SUM(G10:V10)</f>
        <v>76391777.200000003</v>
      </c>
    </row>
    <row r="11" spans="1:25" x14ac:dyDescent="0.25">
      <c r="A11" s="13">
        <v>2</v>
      </c>
      <c r="B11" s="13">
        <v>1</v>
      </c>
      <c r="C11" s="13">
        <v>1</v>
      </c>
      <c r="D11" s="13">
        <v>1</v>
      </c>
      <c r="E11" s="18" t="s">
        <v>33</v>
      </c>
      <c r="F11" s="31" t="s">
        <v>34</v>
      </c>
      <c r="G11" s="76"/>
      <c r="H11" s="32"/>
      <c r="I11" s="32">
        <v>155895</v>
      </c>
      <c r="J11" s="32">
        <v>48000</v>
      </c>
      <c r="K11" s="32">
        <v>155895</v>
      </c>
      <c r="L11" s="32">
        <v>48000</v>
      </c>
      <c r="M11" s="32">
        <v>48000</v>
      </c>
      <c r="N11" s="32">
        <v>48000</v>
      </c>
      <c r="O11" s="32">
        <v>48000</v>
      </c>
      <c r="P11" s="32">
        <v>48000</v>
      </c>
      <c r="Q11" s="32">
        <v>155895</v>
      </c>
      <c r="R11" s="32">
        <v>48000</v>
      </c>
      <c r="S11" s="32">
        <v>48000</v>
      </c>
      <c r="T11" s="32">
        <v>48000</v>
      </c>
      <c r="U11" s="32">
        <v>155895</v>
      </c>
      <c r="V11" s="32">
        <v>48000</v>
      </c>
      <c r="W11" s="14">
        <f t="shared" ref="W11:W12" si="4">SUM(G11:V11)</f>
        <v>1103580</v>
      </c>
    </row>
    <row r="12" spans="1:25" x14ac:dyDescent="0.25">
      <c r="A12" s="13">
        <v>2</v>
      </c>
      <c r="B12" s="13">
        <v>1</v>
      </c>
      <c r="C12" s="13">
        <v>1</v>
      </c>
      <c r="D12" s="13">
        <v>1</v>
      </c>
      <c r="E12" s="18" t="s">
        <v>35</v>
      </c>
      <c r="F12" s="31" t="s">
        <v>36</v>
      </c>
      <c r="H12" s="33"/>
      <c r="I12" s="33"/>
      <c r="J12" s="33"/>
      <c r="L12" s="33"/>
      <c r="M12" s="32">
        <f>80000*12*2</f>
        <v>1920000</v>
      </c>
      <c r="N12" s="32"/>
      <c r="O12" s="32">
        <f>80000*3*12</f>
        <v>2880000</v>
      </c>
      <c r="P12" s="33"/>
      <c r="Q12" s="32">
        <f>80000*2*12</f>
        <v>1920000</v>
      </c>
      <c r="R12" s="32"/>
      <c r="T12" s="33"/>
      <c r="V12" s="33"/>
      <c r="W12" s="14">
        <f t="shared" si="4"/>
        <v>6720000</v>
      </c>
    </row>
    <row r="13" spans="1:25" x14ac:dyDescent="0.25">
      <c r="A13" s="28">
        <v>2</v>
      </c>
      <c r="B13" s="28">
        <v>1</v>
      </c>
      <c r="C13" s="28">
        <v>1</v>
      </c>
      <c r="D13" s="28">
        <v>2</v>
      </c>
      <c r="E13" s="28"/>
      <c r="F13" s="29" t="s">
        <v>37</v>
      </c>
      <c r="G13" s="34">
        <f>SUM(G14:G18)</f>
        <v>1110000</v>
      </c>
      <c r="H13" s="34">
        <f t="shared" ref="H13:V13" si="5">SUM(H14:H18)</f>
        <v>0</v>
      </c>
      <c r="I13" s="34">
        <f t="shared" si="5"/>
        <v>0</v>
      </c>
      <c r="J13" s="34">
        <f t="shared" si="5"/>
        <v>529000</v>
      </c>
      <c r="K13" s="34">
        <f t="shared" si="5"/>
        <v>1082800</v>
      </c>
      <c r="L13" s="34">
        <f t="shared" si="5"/>
        <v>247200</v>
      </c>
      <c r="M13" s="34">
        <f t="shared" si="5"/>
        <v>0</v>
      </c>
      <c r="N13" s="34">
        <f t="shared" si="5"/>
        <v>0</v>
      </c>
      <c r="O13" s="34">
        <f t="shared" si="5"/>
        <v>200000</v>
      </c>
      <c r="P13" s="34">
        <f t="shared" si="5"/>
        <v>0</v>
      </c>
      <c r="Q13" s="34">
        <f t="shared" si="5"/>
        <v>123600</v>
      </c>
      <c r="R13" s="34">
        <f t="shared" si="5"/>
        <v>0</v>
      </c>
      <c r="S13" s="34">
        <f t="shared" si="5"/>
        <v>3285800</v>
      </c>
      <c r="T13" s="34">
        <f t="shared" si="5"/>
        <v>412200</v>
      </c>
      <c r="U13" s="34">
        <f t="shared" si="5"/>
        <v>480000</v>
      </c>
      <c r="V13" s="34">
        <f t="shared" si="5"/>
        <v>155406</v>
      </c>
      <c r="W13" s="34">
        <f>SUM(W14:W18)</f>
        <v>7626006</v>
      </c>
      <c r="X13" s="78"/>
    </row>
    <row r="14" spans="1:25" x14ac:dyDescent="0.25">
      <c r="A14" s="13">
        <v>2</v>
      </c>
      <c r="B14" s="13">
        <v>1</v>
      </c>
      <c r="C14" s="13">
        <v>1</v>
      </c>
      <c r="D14" s="13">
        <v>2</v>
      </c>
      <c r="E14" s="18" t="s">
        <v>29</v>
      </c>
      <c r="F14" s="35" t="s">
        <v>38</v>
      </c>
      <c r="G14" s="15"/>
      <c r="H14" s="15"/>
      <c r="I14" s="15"/>
      <c r="J14" s="15">
        <f>15300*12</f>
        <v>183600</v>
      </c>
      <c r="K14" s="15"/>
      <c r="L14" s="15"/>
      <c r="M14" s="15"/>
      <c r="N14" s="15"/>
      <c r="O14" s="15"/>
      <c r="P14" s="15"/>
      <c r="Q14" s="15"/>
      <c r="R14" s="15"/>
      <c r="S14" s="15"/>
      <c r="T14" s="15">
        <f>30050*12</f>
        <v>360600</v>
      </c>
      <c r="U14" s="15"/>
      <c r="V14" s="15"/>
      <c r="W14" s="14">
        <f>SUM(G14:V14)</f>
        <v>544200</v>
      </c>
    </row>
    <row r="15" spans="1:25" x14ac:dyDescent="0.25">
      <c r="A15" s="13">
        <v>2</v>
      </c>
      <c r="B15" s="13">
        <v>1</v>
      </c>
      <c r="C15" s="13">
        <v>1</v>
      </c>
      <c r="D15" s="13">
        <v>2</v>
      </c>
      <c r="E15" s="18" t="s">
        <v>33</v>
      </c>
      <c r="F15" s="31" t="s">
        <v>39</v>
      </c>
      <c r="G15" s="15"/>
      <c r="H15" s="15"/>
      <c r="I15" s="15"/>
      <c r="J15" s="15">
        <f>3*20600*3</f>
        <v>185400</v>
      </c>
      <c r="K15" s="15">
        <f>20600*3</f>
        <v>61800</v>
      </c>
      <c r="L15" s="15">
        <f>20600*4*3</f>
        <v>247200</v>
      </c>
      <c r="M15" s="15"/>
      <c r="N15" s="15"/>
      <c r="O15" s="15"/>
      <c r="P15" s="15"/>
      <c r="Q15" s="15">
        <f>20600*2*3</f>
        <v>123600</v>
      </c>
      <c r="R15" s="15"/>
      <c r="S15" s="15">
        <f>20600*2*3</f>
        <v>123600</v>
      </c>
      <c r="T15" s="15"/>
      <c r="U15" s="15"/>
      <c r="V15" s="15">
        <f>35400+2*3</f>
        <v>35406</v>
      </c>
      <c r="W15" s="14">
        <f>SUM(G15:V15)</f>
        <v>777006</v>
      </c>
    </row>
    <row r="16" spans="1:25" x14ac:dyDescent="0.25">
      <c r="A16" s="13">
        <v>2</v>
      </c>
      <c r="B16" s="13">
        <v>1</v>
      </c>
      <c r="C16" s="13">
        <v>1</v>
      </c>
      <c r="D16" s="13">
        <v>2</v>
      </c>
      <c r="E16" s="18" t="s">
        <v>40</v>
      </c>
      <c r="F16" s="31" t="s">
        <v>41</v>
      </c>
      <c r="G16" s="15"/>
      <c r="H16" s="15"/>
      <c r="I16" s="15"/>
      <c r="J16" s="15">
        <f>800*200</f>
        <v>160000</v>
      </c>
      <c r="K16" s="15"/>
      <c r="L16" s="15"/>
      <c r="M16" s="15"/>
      <c r="N16" s="15"/>
      <c r="O16" s="15">
        <f>800*250</f>
        <v>200000</v>
      </c>
      <c r="P16" s="15"/>
      <c r="Q16" s="15"/>
      <c r="R16" s="15"/>
      <c r="S16" s="15"/>
      <c r="T16" s="15"/>
      <c r="U16" s="15"/>
      <c r="V16" s="15">
        <f>800*150</f>
        <v>120000</v>
      </c>
      <c r="W16" s="14">
        <f>SUM(G16:V16)</f>
        <v>480000</v>
      </c>
    </row>
    <row r="17" spans="1:24" x14ac:dyDescent="0.25">
      <c r="A17" s="13">
        <v>2</v>
      </c>
      <c r="B17" s="13">
        <v>1</v>
      </c>
      <c r="C17" s="13">
        <v>1</v>
      </c>
      <c r="D17" s="13">
        <v>2</v>
      </c>
      <c r="E17" s="18" t="s">
        <v>42</v>
      </c>
      <c r="F17" s="10" t="s">
        <v>43</v>
      </c>
      <c r="G17" s="32">
        <f>80000*1*12</f>
        <v>960000</v>
      </c>
      <c r="H17" s="15"/>
      <c r="I17" s="15"/>
      <c r="J17" s="15"/>
      <c r="K17" s="32">
        <f>80000*12</f>
        <v>960000</v>
      </c>
      <c r="L17" s="15"/>
      <c r="M17" s="15"/>
      <c r="N17" s="15"/>
      <c r="O17" s="15"/>
      <c r="P17" s="15"/>
      <c r="Q17" s="15"/>
      <c r="R17" s="15"/>
      <c r="S17" s="32">
        <f>(80000*2*12)+(45500*2*12)</f>
        <v>3012000</v>
      </c>
      <c r="T17" s="15"/>
      <c r="U17" s="32">
        <f>80000*1*6</f>
        <v>480000</v>
      </c>
      <c r="V17" s="15"/>
      <c r="W17" s="14">
        <f>SUM(G17:V17)</f>
        <v>5412000</v>
      </c>
    </row>
    <row r="18" spans="1:24" x14ac:dyDescent="0.25">
      <c r="A18" s="13">
        <v>2</v>
      </c>
      <c r="B18" s="13">
        <v>1</v>
      </c>
      <c r="C18" s="13">
        <v>1</v>
      </c>
      <c r="D18" s="13">
        <v>2</v>
      </c>
      <c r="E18" s="18" t="s">
        <v>35</v>
      </c>
      <c r="F18" s="31" t="s">
        <v>44</v>
      </c>
      <c r="G18" s="15">
        <f>25000*6</f>
        <v>150000</v>
      </c>
      <c r="H18" s="15"/>
      <c r="I18" s="15"/>
      <c r="J18" s="15"/>
      <c r="K18" s="15">
        <f>30500*2</f>
        <v>61000</v>
      </c>
      <c r="L18" s="15"/>
      <c r="M18" s="15"/>
      <c r="N18" s="15"/>
      <c r="O18" s="15"/>
      <c r="P18" s="15"/>
      <c r="Q18" s="15"/>
      <c r="R18" s="15"/>
      <c r="S18" s="15">
        <v>150200</v>
      </c>
      <c r="T18" s="15">
        <f>25800*2</f>
        <v>51600</v>
      </c>
      <c r="U18" s="15"/>
      <c r="V18" s="15"/>
      <c r="W18" s="14">
        <f>SUM(G18:V18)</f>
        <v>412800</v>
      </c>
    </row>
    <row r="19" spans="1:24" x14ac:dyDescent="0.25">
      <c r="A19" s="17">
        <v>2</v>
      </c>
      <c r="B19" s="17">
        <v>1</v>
      </c>
      <c r="C19" s="17">
        <v>1</v>
      </c>
      <c r="D19" s="17">
        <v>3</v>
      </c>
      <c r="E19" s="19"/>
      <c r="F19" s="8" t="s">
        <v>45</v>
      </c>
      <c r="G19" s="34">
        <f>G20</f>
        <v>0</v>
      </c>
      <c r="H19" s="34">
        <f t="shared" ref="H19:W19" si="6">H20</f>
        <v>0</v>
      </c>
      <c r="I19" s="34">
        <f t="shared" si="6"/>
        <v>0</v>
      </c>
      <c r="J19" s="34">
        <f t="shared" si="6"/>
        <v>707520</v>
      </c>
      <c r="K19" s="34">
        <f t="shared" si="6"/>
        <v>1980000</v>
      </c>
      <c r="L19" s="34">
        <f t="shared" si="6"/>
        <v>0</v>
      </c>
      <c r="M19" s="34">
        <f t="shared" si="6"/>
        <v>0</v>
      </c>
      <c r="N19" s="34">
        <f t="shared" si="6"/>
        <v>0</v>
      </c>
      <c r="O19" s="34">
        <f t="shared" si="6"/>
        <v>0</v>
      </c>
      <c r="P19" s="34">
        <f t="shared" si="6"/>
        <v>0</v>
      </c>
      <c r="Q19" s="34">
        <f t="shared" si="6"/>
        <v>0</v>
      </c>
      <c r="R19" s="34">
        <f t="shared" si="6"/>
        <v>0</v>
      </c>
      <c r="S19" s="34">
        <f t="shared" si="6"/>
        <v>0</v>
      </c>
      <c r="T19" s="34">
        <f t="shared" si="6"/>
        <v>945660</v>
      </c>
      <c r="U19" s="34">
        <f t="shared" si="6"/>
        <v>0</v>
      </c>
      <c r="V19" s="34">
        <f t="shared" si="6"/>
        <v>450780</v>
      </c>
      <c r="W19" s="34">
        <f t="shared" si="6"/>
        <v>4083960</v>
      </c>
    </row>
    <row r="20" spans="1:24" x14ac:dyDescent="0.25">
      <c r="A20" s="13">
        <v>2</v>
      </c>
      <c r="B20" s="13">
        <v>1</v>
      </c>
      <c r="C20" s="13">
        <v>1</v>
      </c>
      <c r="D20" s="13">
        <v>3</v>
      </c>
      <c r="E20" s="18" t="s">
        <v>29</v>
      </c>
      <c r="F20" s="9" t="s">
        <v>46</v>
      </c>
      <c r="G20" s="1"/>
      <c r="H20" s="1"/>
      <c r="I20" s="32"/>
      <c r="J20" s="32">
        <f>58960*12</f>
        <v>707520</v>
      </c>
      <c r="K20" s="15">
        <f>165000*12</f>
        <v>1980000</v>
      </c>
      <c r="L20" s="1"/>
      <c r="M20" s="1"/>
      <c r="N20" s="1"/>
      <c r="O20" s="1"/>
      <c r="P20" s="1"/>
      <c r="Q20" s="1"/>
      <c r="R20" s="1"/>
      <c r="S20" s="1"/>
      <c r="T20" s="15">
        <f>78805*12</f>
        <v>945660</v>
      </c>
      <c r="U20" s="1"/>
      <c r="V20" s="32">
        <f>37565*12</f>
        <v>450780</v>
      </c>
      <c r="W20" s="14">
        <f>SUM(G20:V20)</f>
        <v>4083960</v>
      </c>
    </row>
    <row r="21" spans="1:24" x14ac:dyDescent="0.25">
      <c r="A21" s="17">
        <v>2</v>
      </c>
      <c r="B21" s="17">
        <v>1</v>
      </c>
      <c r="C21" s="17">
        <v>1</v>
      </c>
      <c r="D21" s="17">
        <v>4</v>
      </c>
      <c r="E21" s="19"/>
      <c r="F21" s="8" t="s">
        <v>47</v>
      </c>
      <c r="G21" s="34">
        <f>SUM(G22:G23)</f>
        <v>1246026.852</v>
      </c>
      <c r="H21" s="34">
        <f t="shared" ref="H21:W21" si="7">SUM(H22:H23)</f>
        <v>347136</v>
      </c>
      <c r="I21" s="34">
        <f t="shared" si="7"/>
        <v>222720</v>
      </c>
      <c r="J21" s="34">
        <f t="shared" si="7"/>
        <v>1037382.6533333332</v>
      </c>
      <c r="K21" s="34">
        <f t="shared" si="7"/>
        <v>582106.92133333336</v>
      </c>
      <c r="L21" s="34">
        <f t="shared" si="7"/>
        <v>889586.85199999996</v>
      </c>
      <c r="M21" s="34">
        <f t="shared" si="7"/>
        <v>1123878.8999999999</v>
      </c>
      <c r="N21" s="34">
        <f t="shared" si="7"/>
        <v>3580340</v>
      </c>
      <c r="O21" s="34">
        <f t="shared" si="7"/>
        <v>2438103.4666666668</v>
      </c>
      <c r="P21" s="34">
        <f t="shared" si="7"/>
        <v>94566</v>
      </c>
      <c r="Q21" s="34">
        <f t="shared" si="7"/>
        <v>393020</v>
      </c>
      <c r="R21" s="34">
        <f t="shared" si="7"/>
        <v>1403683.7333333332</v>
      </c>
      <c r="S21" s="34">
        <f t="shared" si="7"/>
        <v>673376.66666666663</v>
      </c>
      <c r="T21" s="34">
        <f t="shared" si="7"/>
        <v>487867</v>
      </c>
      <c r="U21" s="34">
        <f t="shared" si="7"/>
        <v>302720</v>
      </c>
      <c r="V21" s="34">
        <f t="shared" si="7"/>
        <v>383461.5</v>
      </c>
      <c r="W21" s="34">
        <f t="shared" si="7"/>
        <v>15205976.545333333</v>
      </c>
      <c r="X21" s="79"/>
    </row>
    <row r="22" spans="1:24" x14ac:dyDescent="0.25">
      <c r="A22" s="13">
        <v>2</v>
      </c>
      <c r="B22" s="13">
        <v>1</v>
      </c>
      <c r="C22" s="13">
        <v>1</v>
      </c>
      <c r="D22" s="13">
        <v>4</v>
      </c>
      <c r="E22" s="18" t="s">
        <v>29</v>
      </c>
      <c r="F22" s="9" t="s">
        <v>48</v>
      </c>
      <c r="G22" s="32">
        <f>+(G9+G17+G13+G19)/12</f>
        <v>1246026.852</v>
      </c>
      <c r="H22" s="32">
        <f t="shared" ref="H22:V22" si="8">+(H9+H12+H13+H19)/12</f>
        <v>347136</v>
      </c>
      <c r="I22" s="32">
        <f t="shared" si="8"/>
        <v>222720</v>
      </c>
      <c r="J22" s="32">
        <f t="shared" si="8"/>
        <v>1037382.6533333332</v>
      </c>
      <c r="K22" s="32">
        <f>+(K9+K17+K13+K19)/12</f>
        <v>582106.92133333336</v>
      </c>
      <c r="L22" s="32">
        <f t="shared" si="8"/>
        <v>889586.85199999996</v>
      </c>
      <c r="M22" s="32">
        <f t="shared" si="8"/>
        <v>342820</v>
      </c>
      <c r="N22" s="32">
        <f t="shared" si="8"/>
        <v>464226</v>
      </c>
      <c r="O22" s="32">
        <f t="shared" si="8"/>
        <v>1056052.6666666667</v>
      </c>
      <c r="P22" s="32">
        <f t="shared" si="8"/>
        <v>94566</v>
      </c>
      <c r="Q22" s="32">
        <f t="shared" si="8"/>
        <v>393020</v>
      </c>
      <c r="R22" s="32">
        <f t="shared" si="8"/>
        <v>316926</v>
      </c>
      <c r="S22" s="32">
        <f>+(S9+S17+S13+S19)/12</f>
        <v>673376.66666666663</v>
      </c>
      <c r="T22" s="32">
        <f t="shared" si="8"/>
        <v>487867</v>
      </c>
      <c r="U22" s="32">
        <f>+(U9+U17+U13+U19)/12</f>
        <v>302720</v>
      </c>
      <c r="V22" s="32">
        <f t="shared" si="8"/>
        <v>383461.5</v>
      </c>
      <c r="W22" s="32">
        <f>SUM(G22:V22)</f>
        <v>8839995.1119999997</v>
      </c>
    </row>
    <row r="23" spans="1:24" x14ac:dyDescent="0.25">
      <c r="A23" s="13">
        <v>2</v>
      </c>
      <c r="B23" s="13">
        <v>1</v>
      </c>
      <c r="C23" s="13">
        <v>1</v>
      </c>
      <c r="D23" s="13">
        <v>4</v>
      </c>
      <c r="E23" s="18" t="s">
        <v>49</v>
      </c>
      <c r="F23" s="9" t="s">
        <v>50</v>
      </c>
      <c r="G23" s="32"/>
      <c r="H23" s="32"/>
      <c r="I23" s="32"/>
      <c r="J23" s="32"/>
      <c r="K23" s="32"/>
      <c r="L23" s="32"/>
      <c r="M23" s="32">
        <f>+M10/12</f>
        <v>781058.89999999991</v>
      </c>
      <c r="N23" s="32">
        <f>+N10/12</f>
        <v>3116114</v>
      </c>
      <c r="O23" s="32">
        <f>+O10/12</f>
        <v>1382050.8</v>
      </c>
      <c r="P23" s="32"/>
      <c r="Q23" s="32"/>
      <c r="R23" s="32">
        <f>+R10/12</f>
        <v>1086757.7333333332</v>
      </c>
      <c r="S23" s="32"/>
      <c r="T23" s="32"/>
      <c r="U23" s="32"/>
      <c r="V23" s="32"/>
      <c r="W23" s="32">
        <f>SUM(G23:V23)</f>
        <v>6365981.4333333336</v>
      </c>
    </row>
    <row r="24" spans="1:24" x14ac:dyDescent="0.25">
      <c r="A24" s="26">
        <v>2</v>
      </c>
      <c r="B24" s="26">
        <v>1</v>
      </c>
      <c r="C24" s="26">
        <v>1</v>
      </c>
      <c r="D24" s="26">
        <v>5</v>
      </c>
      <c r="E24" s="26"/>
      <c r="F24" s="26" t="s">
        <v>51</v>
      </c>
      <c r="G24" s="77">
        <f>+G25</f>
        <v>4038803.7</v>
      </c>
      <c r="H24" s="77">
        <f t="shared" ref="H24:W24" si="9">+H25</f>
        <v>0</v>
      </c>
      <c r="I24" s="77">
        <f t="shared" si="9"/>
        <v>0</v>
      </c>
      <c r="J24" s="77">
        <f t="shared" si="9"/>
        <v>0</v>
      </c>
      <c r="K24" s="77">
        <f t="shared" si="9"/>
        <v>0</v>
      </c>
      <c r="L24" s="77">
        <f t="shared" si="9"/>
        <v>0</v>
      </c>
      <c r="M24" s="77">
        <f t="shared" si="9"/>
        <v>0</v>
      </c>
      <c r="N24" s="77">
        <f t="shared" si="9"/>
        <v>0</v>
      </c>
      <c r="O24" s="77">
        <f t="shared" si="9"/>
        <v>0</v>
      </c>
      <c r="P24" s="77">
        <f t="shared" si="9"/>
        <v>0</v>
      </c>
      <c r="Q24" s="77">
        <f t="shared" si="9"/>
        <v>0</v>
      </c>
      <c r="R24" s="77">
        <f t="shared" si="9"/>
        <v>0</v>
      </c>
      <c r="S24" s="77">
        <f t="shared" si="9"/>
        <v>0</v>
      </c>
      <c r="T24" s="77">
        <f t="shared" si="9"/>
        <v>0</v>
      </c>
      <c r="U24" s="77">
        <f t="shared" si="9"/>
        <v>0</v>
      </c>
      <c r="V24" s="77">
        <f t="shared" si="9"/>
        <v>0</v>
      </c>
      <c r="W24" s="77">
        <f t="shared" si="9"/>
        <v>4038803.7</v>
      </c>
    </row>
    <row r="25" spans="1:24" x14ac:dyDescent="0.25">
      <c r="A25" s="13">
        <v>2</v>
      </c>
      <c r="B25" s="13">
        <v>1</v>
      </c>
      <c r="C25" s="13">
        <v>1</v>
      </c>
      <c r="D25" s="13">
        <v>5</v>
      </c>
      <c r="E25" s="18" t="s">
        <v>52</v>
      </c>
      <c r="F25" s="9" t="s">
        <v>53</v>
      </c>
      <c r="G25" s="32">
        <v>4038803.7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14">
        <f>SUM(G25:V25)</f>
        <v>4038803.7</v>
      </c>
    </row>
    <row r="26" spans="1:24" x14ac:dyDescent="0.25">
      <c r="A26" s="36">
        <v>2</v>
      </c>
      <c r="B26" s="36">
        <v>1</v>
      </c>
      <c r="C26" s="36">
        <v>2</v>
      </c>
      <c r="D26" s="36"/>
      <c r="E26" s="36"/>
      <c r="F26" s="26" t="s">
        <v>54</v>
      </c>
      <c r="G26" s="37">
        <f>G27</f>
        <v>600000</v>
      </c>
      <c r="H26" s="37">
        <f t="shared" ref="H26:W26" si="10">H27</f>
        <v>0</v>
      </c>
      <c r="I26" s="37">
        <f t="shared" si="10"/>
        <v>0</v>
      </c>
      <c r="J26" s="37">
        <f t="shared" si="10"/>
        <v>411810</v>
      </c>
      <c r="K26" s="37">
        <f t="shared" si="10"/>
        <v>66000</v>
      </c>
      <c r="L26" s="37">
        <f t="shared" si="10"/>
        <v>235690</v>
      </c>
      <c r="M26" s="37">
        <f t="shared" si="10"/>
        <v>0</v>
      </c>
      <c r="N26" s="37">
        <f t="shared" si="10"/>
        <v>125946</v>
      </c>
      <c r="O26" s="37">
        <f t="shared" si="10"/>
        <v>123560</v>
      </c>
      <c r="P26" s="37">
        <f t="shared" si="10"/>
        <v>0</v>
      </c>
      <c r="Q26" s="37">
        <f t="shared" si="10"/>
        <v>0</v>
      </c>
      <c r="R26" s="37">
        <f t="shared" si="10"/>
        <v>0</v>
      </c>
      <c r="S26" s="37">
        <f t="shared" si="10"/>
        <v>0</v>
      </c>
      <c r="T26" s="37">
        <f t="shared" si="10"/>
        <v>0</v>
      </c>
      <c r="U26" s="37">
        <f t="shared" si="10"/>
        <v>0</v>
      </c>
      <c r="V26" s="37">
        <f t="shared" si="10"/>
        <v>0</v>
      </c>
      <c r="W26" s="37">
        <f t="shared" si="10"/>
        <v>1563006</v>
      </c>
    </row>
    <row r="27" spans="1:24" x14ac:dyDescent="0.25">
      <c r="A27" s="28">
        <v>2</v>
      </c>
      <c r="B27" s="28">
        <v>1</v>
      </c>
      <c r="C27" s="28">
        <v>2</v>
      </c>
      <c r="D27" s="28">
        <v>2</v>
      </c>
      <c r="E27" s="28"/>
      <c r="F27" s="29" t="s">
        <v>55</v>
      </c>
      <c r="G27" s="30">
        <f>SUM(G28:G29)</f>
        <v>600000</v>
      </c>
      <c r="H27" s="30">
        <f t="shared" ref="H27:W27" si="11">SUM(H28:H29)</f>
        <v>0</v>
      </c>
      <c r="I27" s="30">
        <f t="shared" si="11"/>
        <v>0</v>
      </c>
      <c r="J27" s="30">
        <f t="shared" si="11"/>
        <v>411810</v>
      </c>
      <c r="K27" s="30">
        <f t="shared" si="11"/>
        <v>66000</v>
      </c>
      <c r="L27" s="30">
        <f t="shared" si="11"/>
        <v>235690</v>
      </c>
      <c r="M27" s="30">
        <f t="shared" si="11"/>
        <v>0</v>
      </c>
      <c r="N27" s="30">
        <f t="shared" si="11"/>
        <v>125946</v>
      </c>
      <c r="O27" s="30">
        <f t="shared" si="11"/>
        <v>123560</v>
      </c>
      <c r="P27" s="30">
        <f t="shared" si="11"/>
        <v>0</v>
      </c>
      <c r="Q27" s="30">
        <f t="shared" si="11"/>
        <v>0</v>
      </c>
      <c r="R27" s="30">
        <f t="shared" si="11"/>
        <v>0</v>
      </c>
      <c r="S27" s="30">
        <f t="shared" si="11"/>
        <v>0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1563006</v>
      </c>
    </row>
    <row r="28" spans="1:24" x14ac:dyDescent="0.25">
      <c r="A28" s="38">
        <v>2</v>
      </c>
      <c r="B28" s="38">
        <v>1</v>
      </c>
      <c r="C28" s="38">
        <v>2</v>
      </c>
      <c r="D28" s="38">
        <v>2</v>
      </c>
      <c r="E28" s="18" t="s">
        <v>29</v>
      </c>
      <c r="F28" s="9" t="s">
        <v>56</v>
      </c>
      <c r="G28" s="32">
        <f>50000*12</f>
        <v>600000</v>
      </c>
      <c r="H28" s="32"/>
      <c r="I28" s="32"/>
      <c r="J28" s="32">
        <v>85950</v>
      </c>
      <c r="K28" s="32">
        <f>250*22*12</f>
        <v>66000</v>
      </c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14">
        <f>SUM(G28:V28)</f>
        <v>751950</v>
      </c>
    </row>
    <row r="29" spans="1:24" x14ac:dyDescent="0.25">
      <c r="A29" s="38">
        <v>2</v>
      </c>
      <c r="B29" s="38">
        <v>1</v>
      </c>
      <c r="C29" s="38">
        <v>2</v>
      </c>
      <c r="D29" s="38">
        <v>2</v>
      </c>
      <c r="E29" s="18" t="s">
        <v>52</v>
      </c>
      <c r="F29" s="9" t="s">
        <v>57</v>
      </c>
      <c r="G29" s="1"/>
      <c r="H29" s="32"/>
      <c r="I29" s="32"/>
      <c r="J29" s="32">
        <v>325860</v>
      </c>
      <c r="K29" s="1"/>
      <c r="L29" s="32">
        <v>235690</v>
      </c>
      <c r="M29" s="32"/>
      <c r="N29" s="32">
        <v>125946</v>
      </c>
      <c r="O29" s="32">
        <v>123560</v>
      </c>
      <c r="P29" s="32"/>
      <c r="Q29" s="32"/>
      <c r="R29" s="32"/>
      <c r="S29" s="32"/>
      <c r="T29" s="32"/>
      <c r="U29" s="32"/>
      <c r="V29" s="32"/>
      <c r="W29" s="14">
        <f>SUM(G29:V29)</f>
        <v>811056</v>
      </c>
    </row>
    <row r="30" spans="1:24" x14ac:dyDescent="0.25">
      <c r="A30" s="36">
        <v>2</v>
      </c>
      <c r="B30" s="36">
        <v>1</v>
      </c>
      <c r="C30" s="36">
        <v>3</v>
      </c>
      <c r="D30" s="36"/>
      <c r="E30" s="36"/>
      <c r="F30" s="26" t="s">
        <v>58</v>
      </c>
      <c r="G30" s="39">
        <f>G31+G34</f>
        <v>498010</v>
      </c>
      <c r="H30" s="39">
        <f t="shared" ref="H30:W30" si="12">H31+H34</f>
        <v>48000</v>
      </c>
      <c r="I30" s="39">
        <f t="shared" si="12"/>
        <v>0</v>
      </c>
      <c r="J30" s="39">
        <f t="shared" si="12"/>
        <v>153600</v>
      </c>
      <c r="K30" s="39">
        <f t="shared" si="12"/>
        <v>236145</v>
      </c>
      <c r="L30" s="39">
        <f t="shared" si="12"/>
        <v>86400</v>
      </c>
      <c r="M30" s="39">
        <f t="shared" si="12"/>
        <v>48000</v>
      </c>
      <c r="N30" s="39">
        <f t="shared" si="12"/>
        <v>86400</v>
      </c>
      <c r="O30" s="39">
        <f t="shared" si="12"/>
        <v>279220</v>
      </c>
      <c r="P30" s="39">
        <f t="shared" si="12"/>
        <v>9600</v>
      </c>
      <c r="Q30" s="39">
        <f t="shared" si="12"/>
        <v>0</v>
      </c>
      <c r="R30" s="39">
        <f t="shared" si="12"/>
        <v>1213375</v>
      </c>
      <c r="S30" s="39">
        <f t="shared" si="12"/>
        <v>243537</v>
      </c>
      <c r="T30" s="39">
        <f t="shared" si="12"/>
        <v>278345</v>
      </c>
      <c r="U30" s="39">
        <f t="shared" si="12"/>
        <v>0</v>
      </c>
      <c r="V30" s="39">
        <f t="shared" si="12"/>
        <v>86400</v>
      </c>
      <c r="W30" s="39">
        <f t="shared" si="12"/>
        <v>3267032</v>
      </c>
      <c r="X30" s="78"/>
    </row>
    <row r="31" spans="1:24" x14ac:dyDescent="0.25">
      <c r="A31" s="40">
        <v>2</v>
      </c>
      <c r="B31" s="40">
        <v>1</v>
      </c>
      <c r="C31" s="40">
        <v>3</v>
      </c>
      <c r="D31" s="40">
        <v>1</v>
      </c>
      <c r="E31" s="17"/>
      <c r="F31" s="41" t="s">
        <v>59</v>
      </c>
      <c r="G31" s="42">
        <f>SUM(G32:G33)</f>
        <v>104450</v>
      </c>
      <c r="H31" s="42">
        <f t="shared" ref="H31:W31" si="13">SUM(H32:H33)</f>
        <v>9600</v>
      </c>
      <c r="I31" s="42">
        <f t="shared" si="13"/>
        <v>0</v>
      </c>
      <c r="J31" s="42">
        <f t="shared" si="13"/>
        <v>86400</v>
      </c>
      <c r="K31" s="42">
        <f t="shared" si="13"/>
        <v>52280</v>
      </c>
      <c r="L31" s="42">
        <f t="shared" si="13"/>
        <v>57600</v>
      </c>
      <c r="M31" s="42">
        <f t="shared" si="13"/>
        <v>9600</v>
      </c>
      <c r="N31" s="42">
        <f t="shared" si="13"/>
        <v>28800</v>
      </c>
      <c r="O31" s="42">
        <f t="shared" si="13"/>
        <v>93620</v>
      </c>
      <c r="P31" s="42">
        <f t="shared" si="13"/>
        <v>9600</v>
      </c>
      <c r="Q31" s="42">
        <f t="shared" si="13"/>
        <v>0</v>
      </c>
      <c r="R31" s="42">
        <f t="shared" si="13"/>
        <v>581990</v>
      </c>
      <c r="S31" s="42">
        <f t="shared" si="13"/>
        <v>46192</v>
      </c>
      <c r="T31" s="42">
        <f t="shared" si="13"/>
        <v>61760</v>
      </c>
      <c r="U31" s="42">
        <f t="shared" si="13"/>
        <v>0</v>
      </c>
      <c r="V31" s="42">
        <f t="shared" si="13"/>
        <v>76800</v>
      </c>
      <c r="W31" s="42">
        <f t="shared" si="13"/>
        <v>1218692</v>
      </c>
    </row>
    <row r="32" spans="1:24" x14ac:dyDescent="0.25">
      <c r="A32" s="13">
        <v>2</v>
      </c>
      <c r="B32" s="13">
        <v>1</v>
      </c>
      <c r="C32" s="13">
        <v>3</v>
      </c>
      <c r="D32" s="13">
        <v>1</v>
      </c>
      <c r="E32" s="18" t="s">
        <v>29</v>
      </c>
      <c r="F32" s="9" t="s">
        <v>60</v>
      </c>
      <c r="G32" s="32">
        <f>12*3*800</f>
        <v>28800</v>
      </c>
      <c r="H32" s="32">
        <f t="shared" ref="H32:P32" si="14">12*800</f>
        <v>9600</v>
      </c>
      <c r="I32" s="32"/>
      <c r="J32" s="32">
        <f>12*800*9</f>
        <v>86400</v>
      </c>
      <c r="K32" s="32">
        <f>12*800</f>
        <v>9600</v>
      </c>
      <c r="L32" s="32">
        <f>6*12*800</f>
        <v>57600</v>
      </c>
      <c r="M32" s="32">
        <f t="shared" si="14"/>
        <v>9600</v>
      </c>
      <c r="N32" s="32">
        <f>12*3*800</f>
        <v>28800</v>
      </c>
      <c r="O32" s="32">
        <f>12*5*800</f>
        <v>48000</v>
      </c>
      <c r="P32" s="32">
        <f t="shared" si="14"/>
        <v>9600</v>
      </c>
      <c r="Q32" s="32"/>
      <c r="R32" s="32">
        <f>12*800*8</f>
        <v>76800</v>
      </c>
      <c r="S32" s="32">
        <f>12*800+12</f>
        <v>9612</v>
      </c>
      <c r="T32" s="32">
        <f>12*800*2</f>
        <v>19200</v>
      </c>
      <c r="U32" s="32"/>
      <c r="V32" s="32">
        <f>12*800*8</f>
        <v>76800</v>
      </c>
      <c r="W32" s="14">
        <f>SUM(G32:V32)</f>
        <v>470412</v>
      </c>
    </row>
    <row r="33" spans="1:24" x14ac:dyDescent="0.25">
      <c r="A33" s="13">
        <v>1</v>
      </c>
      <c r="B33" s="13">
        <v>3</v>
      </c>
      <c r="C33" s="13">
        <v>1</v>
      </c>
      <c r="D33" s="18" t="s">
        <v>61</v>
      </c>
      <c r="E33" s="18" t="s">
        <v>49</v>
      </c>
      <c r="F33" s="9" t="s">
        <v>62</v>
      </c>
      <c r="G33" s="32">
        <f>75650</f>
        <v>75650</v>
      </c>
      <c r="H33" s="1"/>
      <c r="I33" s="1"/>
      <c r="J33" s="1"/>
      <c r="K33" s="32">
        <v>42680</v>
      </c>
      <c r="L33" s="1"/>
      <c r="M33" s="1"/>
      <c r="N33" s="1"/>
      <c r="O33" s="32">
        <v>45620</v>
      </c>
      <c r="P33" s="1"/>
      <c r="Q33" s="32"/>
      <c r="R33" s="14">
        <f>38690+250000+100000+(2500*46.6)</f>
        <v>505190</v>
      </c>
      <c r="S33" s="14">
        <v>36580</v>
      </c>
      <c r="T33" s="14">
        <v>42560</v>
      </c>
      <c r="U33" s="14"/>
      <c r="V33" s="1"/>
      <c r="W33" s="14">
        <f>SUM(G33:V33)</f>
        <v>748280</v>
      </c>
    </row>
    <row r="34" spans="1:24" x14ac:dyDescent="0.25">
      <c r="A34" s="40">
        <v>2</v>
      </c>
      <c r="B34" s="40">
        <v>1</v>
      </c>
      <c r="C34" s="40">
        <v>3</v>
      </c>
      <c r="D34" s="40">
        <v>2</v>
      </c>
      <c r="E34" s="40"/>
      <c r="F34" s="41" t="s">
        <v>63</v>
      </c>
      <c r="G34" s="42">
        <f>SUM(G35:G36)</f>
        <v>393560</v>
      </c>
      <c r="H34" s="42">
        <f t="shared" ref="H34:W34" si="15">SUM(H35:H36)</f>
        <v>38400</v>
      </c>
      <c r="I34" s="42">
        <f t="shared" si="15"/>
        <v>0</v>
      </c>
      <c r="J34" s="42">
        <f t="shared" si="15"/>
        <v>67200</v>
      </c>
      <c r="K34" s="42">
        <f t="shared" si="15"/>
        <v>183865</v>
      </c>
      <c r="L34" s="42">
        <f t="shared" si="15"/>
        <v>28800</v>
      </c>
      <c r="M34" s="42">
        <f t="shared" si="15"/>
        <v>38400</v>
      </c>
      <c r="N34" s="42">
        <f t="shared" si="15"/>
        <v>57600</v>
      </c>
      <c r="O34" s="42">
        <f t="shared" si="15"/>
        <v>185600</v>
      </c>
      <c r="P34" s="42">
        <f t="shared" si="15"/>
        <v>0</v>
      </c>
      <c r="Q34" s="42">
        <f t="shared" si="15"/>
        <v>0</v>
      </c>
      <c r="R34" s="42">
        <f t="shared" si="15"/>
        <v>631385</v>
      </c>
      <c r="S34" s="42">
        <f t="shared" si="15"/>
        <v>197345</v>
      </c>
      <c r="T34" s="42">
        <f t="shared" si="15"/>
        <v>216585</v>
      </c>
      <c r="U34" s="42">
        <f t="shared" si="15"/>
        <v>0</v>
      </c>
      <c r="V34" s="42">
        <f t="shared" si="15"/>
        <v>9600</v>
      </c>
      <c r="W34" s="42">
        <f t="shared" si="15"/>
        <v>2048340</v>
      </c>
    </row>
    <row r="35" spans="1:24" x14ac:dyDescent="0.25">
      <c r="A35" s="13">
        <v>2</v>
      </c>
      <c r="B35" s="13">
        <v>1</v>
      </c>
      <c r="C35" s="13">
        <v>3</v>
      </c>
      <c r="D35" s="13">
        <v>2</v>
      </c>
      <c r="E35" s="18" t="s">
        <v>29</v>
      </c>
      <c r="F35" s="9" t="s">
        <v>64</v>
      </c>
      <c r="G35" s="32">
        <f>12*3*1200</f>
        <v>43200</v>
      </c>
      <c r="H35" s="32">
        <f>12*4*800</f>
        <v>38400</v>
      </c>
      <c r="I35" s="32"/>
      <c r="J35" s="32">
        <f>12*7*800</f>
        <v>67200</v>
      </c>
      <c r="K35" s="32">
        <f>12*2*1000</f>
        <v>24000</v>
      </c>
      <c r="L35" s="32">
        <f>12*3*800</f>
        <v>28800</v>
      </c>
      <c r="M35" s="32">
        <f>12*4*800</f>
        <v>38400</v>
      </c>
      <c r="N35" s="32">
        <f>12*6*800</f>
        <v>57600</v>
      </c>
      <c r="O35" s="32">
        <f>12*3*800</f>
        <v>28800</v>
      </c>
      <c r="P35" s="32"/>
      <c r="Q35" s="32"/>
      <c r="R35" s="32">
        <f>(12*2*800)</f>
        <v>19200</v>
      </c>
      <c r="S35" s="32">
        <f>12*4*800</f>
        <v>38400</v>
      </c>
      <c r="T35" s="32">
        <f>12*5*800</f>
        <v>48000</v>
      </c>
      <c r="U35" s="32"/>
      <c r="V35" s="32">
        <f>12*1*800</f>
        <v>9600</v>
      </c>
      <c r="W35" s="14">
        <f>SUM(G35:V35)</f>
        <v>441600</v>
      </c>
    </row>
    <row r="36" spans="1:24" x14ac:dyDescent="0.25">
      <c r="A36" s="13">
        <v>2</v>
      </c>
      <c r="B36" s="13">
        <v>1</v>
      </c>
      <c r="C36" s="13">
        <v>3</v>
      </c>
      <c r="D36" s="13">
        <v>2</v>
      </c>
      <c r="E36" s="18" t="s">
        <v>49</v>
      </c>
      <c r="F36" s="9" t="s">
        <v>65</v>
      </c>
      <c r="G36" s="14">
        <v>350360</v>
      </c>
      <c r="H36" s="1"/>
      <c r="I36" s="1"/>
      <c r="J36" s="1"/>
      <c r="K36" s="14">
        <v>159865</v>
      </c>
      <c r="L36" s="1"/>
      <c r="M36" s="1"/>
      <c r="N36" s="1"/>
      <c r="O36" s="14">
        <v>156800</v>
      </c>
      <c r="P36" s="1"/>
      <c r="Q36" s="14"/>
      <c r="R36" s="14">
        <f>145685+250000+100000+(2500*46.6)</f>
        <v>612185</v>
      </c>
      <c r="S36" s="14">
        <v>158945</v>
      </c>
      <c r="T36" s="14">
        <v>168585</v>
      </c>
      <c r="U36" s="14"/>
      <c r="V36" s="1"/>
      <c r="W36" s="14">
        <f>SUM(G36:V36)</f>
        <v>1606740</v>
      </c>
    </row>
    <row r="37" spans="1:24" x14ac:dyDescent="0.25">
      <c r="A37" s="43">
        <v>2</v>
      </c>
      <c r="B37" s="43">
        <v>1</v>
      </c>
      <c r="C37" s="43">
        <v>5</v>
      </c>
      <c r="D37" s="43"/>
      <c r="E37" s="43"/>
      <c r="F37" s="26" t="s">
        <v>66</v>
      </c>
      <c r="G37" s="4">
        <f>G38+G40+G42</f>
        <v>1976148.2291615999</v>
      </c>
      <c r="H37" s="4">
        <f t="shared" ref="H37:W37" si="16">H38+H40+H42</f>
        <v>639007.94880000001</v>
      </c>
      <c r="I37" s="4">
        <f t="shared" si="16"/>
        <v>409982.97599999997</v>
      </c>
      <c r="J37" s="4">
        <f t="shared" si="16"/>
        <v>1719931.8202559997</v>
      </c>
      <c r="K37" s="4">
        <f t="shared" si="16"/>
        <v>454444.90079039999</v>
      </c>
      <c r="L37" s="4">
        <f t="shared" si="16"/>
        <v>1599630.9971616</v>
      </c>
      <c r="M37" s="4">
        <f t="shared" si="16"/>
        <v>2068836.2791199998</v>
      </c>
      <c r="N37" s="4">
        <f t="shared" si="16"/>
        <v>6590689.8719999995</v>
      </c>
      <c r="O37" s="4">
        <f t="shared" si="16"/>
        <v>4457380.8614400001</v>
      </c>
      <c r="P37" s="4">
        <f t="shared" si="16"/>
        <v>174077.09279999998</v>
      </c>
      <c r="Q37" s="4">
        <f t="shared" si="16"/>
        <v>704510.97599999991</v>
      </c>
      <c r="R37" s="4">
        <f t="shared" si="16"/>
        <v>2583901.0163199995</v>
      </c>
      <c r="S37" s="4">
        <f t="shared" si="16"/>
        <v>273469.24800000002</v>
      </c>
      <c r="T37" s="4">
        <f t="shared" si="16"/>
        <v>689769.84960000007</v>
      </c>
      <c r="U37" s="4">
        <f t="shared" si="16"/>
        <v>409982.97599999997</v>
      </c>
      <c r="V37" s="4">
        <f t="shared" si="16"/>
        <v>612886.99679999996</v>
      </c>
      <c r="W37" s="4">
        <f t="shared" si="16"/>
        <v>25364652.040249601</v>
      </c>
      <c r="X37" s="78"/>
    </row>
    <row r="38" spans="1:24" x14ac:dyDescent="0.25">
      <c r="A38" s="2">
        <v>2</v>
      </c>
      <c r="B38" s="2">
        <v>1</v>
      </c>
      <c r="C38" s="2">
        <v>5</v>
      </c>
      <c r="D38" s="2">
        <v>1</v>
      </c>
      <c r="E38" s="2"/>
      <c r="F38" s="8" t="s">
        <v>67</v>
      </c>
      <c r="G38" s="34">
        <f>G39</f>
        <v>914644.87790399988</v>
      </c>
      <c r="H38" s="34">
        <f t="shared" ref="H38:W38" si="17">H39</f>
        <v>295759.87199999997</v>
      </c>
      <c r="I38" s="34">
        <f t="shared" si="17"/>
        <v>189757.43999999997</v>
      </c>
      <c r="J38" s="34">
        <f t="shared" si="17"/>
        <v>796057.10063999984</v>
      </c>
      <c r="K38" s="34">
        <f t="shared" si="17"/>
        <v>210336.29697599998</v>
      </c>
      <c r="L38" s="34">
        <f t="shared" si="17"/>
        <v>740376.79790399992</v>
      </c>
      <c r="M38" s="34">
        <f t="shared" si="17"/>
        <v>957544.82279999985</v>
      </c>
      <c r="N38" s="34">
        <f t="shared" si="17"/>
        <v>3050449.6799999997</v>
      </c>
      <c r="O38" s="34">
        <f t="shared" si="17"/>
        <v>2063064.1535999998</v>
      </c>
      <c r="P38" s="34">
        <f t="shared" si="17"/>
        <v>80570.231999999989</v>
      </c>
      <c r="Q38" s="34">
        <f t="shared" si="17"/>
        <v>326077.43999999994</v>
      </c>
      <c r="R38" s="34">
        <f t="shared" si="17"/>
        <v>1195938.5407999996</v>
      </c>
      <c r="S38" s="34">
        <f t="shared" si="17"/>
        <v>126573.12</v>
      </c>
      <c r="T38" s="34">
        <f t="shared" si="17"/>
        <v>319254.62399999995</v>
      </c>
      <c r="U38" s="34">
        <f t="shared" si="17"/>
        <v>189757.43999999997</v>
      </c>
      <c r="V38" s="34">
        <f t="shared" si="17"/>
        <v>283669.99199999997</v>
      </c>
      <c r="W38" s="34">
        <f t="shared" si="17"/>
        <v>11739832.430623997</v>
      </c>
    </row>
    <row r="39" spans="1:24" x14ac:dyDescent="0.25">
      <c r="A39" s="13">
        <v>2</v>
      </c>
      <c r="B39" s="13">
        <v>1</v>
      </c>
      <c r="C39" s="13">
        <v>5</v>
      </c>
      <c r="D39" s="13">
        <v>1</v>
      </c>
      <c r="E39" s="18" t="s">
        <v>29</v>
      </c>
      <c r="F39" s="9" t="s">
        <v>67</v>
      </c>
      <c r="G39" s="14">
        <f>+(G9+G10+G12)*0.071</f>
        <v>914644.87790399988</v>
      </c>
      <c r="H39" s="14">
        <f t="shared" ref="H39:V39" si="18">+(H9+H10+H12)*0.071</f>
        <v>295759.87199999997</v>
      </c>
      <c r="I39" s="14">
        <f t="shared" si="18"/>
        <v>189757.43999999997</v>
      </c>
      <c r="J39" s="14">
        <f t="shared" si="18"/>
        <v>796057.10063999984</v>
      </c>
      <c r="K39" s="14">
        <f t="shared" si="18"/>
        <v>210336.29697599998</v>
      </c>
      <c r="L39" s="14">
        <f t="shared" si="18"/>
        <v>740376.79790399992</v>
      </c>
      <c r="M39" s="14">
        <f t="shared" si="18"/>
        <v>957544.82279999985</v>
      </c>
      <c r="N39" s="14">
        <f t="shared" si="18"/>
        <v>3050449.6799999997</v>
      </c>
      <c r="O39" s="14">
        <f t="shared" si="18"/>
        <v>2063064.1535999998</v>
      </c>
      <c r="P39" s="14">
        <f t="shared" si="18"/>
        <v>80570.231999999989</v>
      </c>
      <c r="Q39" s="14">
        <f t="shared" si="18"/>
        <v>326077.43999999994</v>
      </c>
      <c r="R39" s="14">
        <f t="shared" si="18"/>
        <v>1195938.5407999996</v>
      </c>
      <c r="S39" s="14">
        <f t="shared" si="18"/>
        <v>126573.12</v>
      </c>
      <c r="T39" s="14">
        <f t="shared" si="18"/>
        <v>319254.62399999995</v>
      </c>
      <c r="U39" s="14">
        <f t="shared" si="18"/>
        <v>189757.43999999997</v>
      </c>
      <c r="V39" s="14">
        <f t="shared" si="18"/>
        <v>283669.99199999997</v>
      </c>
      <c r="W39" s="14">
        <f>SUM(G39:V39)</f>
        <v>11739832.430623997</v>
      </c>
    </row>
    <row r="40" spans="1:24" x14ac:dyDescent="0.25">
      <c r="A40" s="2">
        <v>2</v>
      </c>
      <c r="B40" s="2">
        <v>1</v>
      </c>
      <c r="C40" s="2">
        <v>5</v>
      </c>
      <c r="D40" s="2">
        <v>2</v>
      </c>
      <c r="E40" s="2"/>
      <c r="F40" s="8" t="s">
        <v>68</v>
      </c>
      <c r="G40" s="34">
        <f>G41</f>
        <v>913356.64568159997</v>
      </c>
      <c r="H40" s="34">
        <f t="shared" ref="H40:W40" si="19">H41</f>
        <v>295343.3088</v>
      </c>
      <c r="I40" s="34">
        <f t="shared" si="19"/>
        <v>189490.17600000001</v>
      </c>
      <c r="J40" s="34">
        <f t="shared" si="19"/>
        <v>794935.8934559999</v>
      </c>
      <c r="K40" s="34">
        <f t="shared" si="19"/>
        <v>210040.04867039999</v>
      </c>
      <c r="L40" s="34">
        <f t="shared" si="19"/>
        <v>739334.01368159999</v>
      </c>
      <c r="M40" s="34">
        <f t="shared" si="19"/>
        <v>956196.16811999993</v>
      </c>
      <c r="N40" s="34">
        <f t="shared" si="19"/>
        <v>3046153.2720000003</v>
      </c>
      <c r="O40" s="34">
        <f t="shared" si="19"/>
        <v>2060158.4294400003</v>
      </c>
      <c r="P40" s="34">
        <f t="shared" si="19"/>
        <v>80456.752800000002</v>
      </c>
      <c r="Q40" s="34">
        <f t="shared" si="19"/>
        <v>325618.17600000004</v>
      </c>
      <c r="R40" s="34">
        <f t="shared" si="19"/>
        <v>1194254.1203199998</v>
      </c>
      <c r="S40" s="34">
        <f t="shared" si="19"/>
        <v>126394.84800000001</v>
      </c>
      <c r="T40" s="34">
        <f t="shared" si="19"/>
        <v>318804.96960000001</v>
      </c>
      <c r="U40" s="34">
        <f t="shared" si="19"/>
        <v>189490.17600000001</v>
      </c>
      <c r="V40" s="34">
        <f t="shared" si="19"/>
        <v>283270.45680000004</v>
      </c>
      <c r="W40" s="34">
        <f t="shared" si="19"/>
        <v>11723297.455369603</v>
      </c>
    </row>
    <row r="41" spans="1:24" x14ac:dyDescent="0.25">
      <c r="A41" s="13">
        <v>2</v>
      </c>
      <c r="B41" s="13">
        <v>1</v>
      </c>
      <c r="C41" s="13">
        <v>5</v>
      </c>
      <c r="D41" s="13">
        <v>2</v>
      </c>
      <c r="E41" s="18" t="s">
        <v>29</v>
      </c>
      <c r="F41" s="9" t="s">
        <v>69</v>
      </c>
      <c r="G41" s="14">
        <f>+(G9+G10+G12)*0.0709</f>
        <v>913356.64568159997</v>
      </c>
      <c r="H41" s="14">
        <f t="shared" ref="H41:V41" si="20">+(H9+H10+H12)*0.0709</f>
        <v>295343.3088</v>
      </c>
      <c r="I41" s="14">
        <f t="shared" si="20"/>
        <v>189490.17600000001</v>
      </c>
      <c r="J41" s="14">
        <f t="shared" si="20"/>
        <v>794935.8934559999</v>
      </c>
      <c r="K41" s="14">
        <f t="shared" si="20"/>
        <v>210040.04867039999</v>
      </c>
      <c r="L41" s="14">
        <f t="shared" si="20"/>
        <v>739334.01368159999</v>
      </c>
      <c r="M41" s="14">
        <f t="shared" si="20"/>
        <v>956196.16811999993</v>
      </c>
      <c r="N41" s="14">
        <f t="shared" si="20"/>
        <v>3046153.2720000003</v>
      </c>
      <c r="O41" s="14">
        <f t="shared" si="20"/>
        <v>2060158.4294400003</v>
      </c>
      <c r="P41" s="14">
        <f t="shared" si="20"/>
        <v>80456.752800000002</v>
      </c>
      <c r="Q41" s="14">
        <f t="shared" si="20"/>
        <v>325618.17600000004</v>
      </c>
      <c r="R41" s="14">
        <f t="shared" si="20"/>
        <v>1194254.1203199998</v>
      </c>
      <c r="S41" s="14">
        <f t="shared" si="20"/>
        <v>126394.84800000001</v>
      </c>
      <c r="T41" s="14">
        <f t="shared" si="20"/>
        <v>318804.96960000001</v>
      </c>
      <c r="U41" s="14">
        <f t="shared" si="20"/>
        <v>189490.17600000001</v>
      </c>
      <c r="V41" s="14">
        <f t="shared" si="20"/>
        <v>283270.45680000004</v>
      </c>
      <c r="W41" s="14">
        <f>SUM(G41:V41)</f>
        <v>11723297.455369603</v>
      </c>
    </row>
    <row r="42" spans="1:24" x14ac:dyDescent="0.25">
      <c r="A42" s="2">
        <v>2</v>
      </c>
      <c r="B42" s="2">
        <v>1</v>
      </c>
      <c r="C42" s="2">
        <v>5</v>
      </c>
      <c r="D42" s="2">
        <v>3</v>
      </c>
      <c r="E42" s="2"/>
      <c r="F42" s="8" t="s">
        <v>70</v>
      </c>
      <c r="G42" s="34">
        <f>G43</f>
        <v>148146.70557599998</v>
      </c>
      <c r="H42" s="34">
        <f t="shared" ref="H42:W42" si="21">H43</f>
        <v>47904.767999999996</v>
      </c>
      <c r="I42" s="34">
        <f t="shared" si="21"/>
        <v>30735.360000000001</v>
      </c>
      <c r="J42" s="34">
        <f t="shared" si="21"/>
        <v>128938.82615999997</v>
      </c>
      <c r="K42" s="34">
        <f t="shared" si="21"/>
        <v>34068.555143999998</v>
      </c>
      <c r="L42" s="34">
        <f t="shared" si="21"/>
        <v>119920.18557599999</v>
      </c>
      <c r="M42" s="34">
        <f t="shared" si="21"/>
        <v>155095.28819999998</v>
      </c>
      <c r="N42" s="34">
        <f t="shared" si="21"/>
        <v>494086.92</v>
      </c>
      <c r="O42" s="34">
        <f t="shared" si="21"/>
        <v>334158.27840000001</v>
      </c>
      <c r="P42" s="34">
        <f t="shared" si="21"/>
        <v>13050.108</v>
      </c>
      <c r="Q42" s="34">
        <f t="shared" si="21"/>
        <v>52815.360000000001</v>
      </c>
      <c r="R42" s="34">
        <f t="shared" si="21"/>
        <v>193708.35519999996</v>
      </c>
      <c r="S42" s="34">
        <f t="shared" si="21"/>
        <v>20501.28</v>
      </c>
      <c r="T42" s="34">
        <f t="shared" si="21"/>
        <v>51710.256000000001</v>
      </c>
      <c r="U42" s="34">
        <f t="shared" si="21"/>
        <v>30735.360000000001</v>
      </c>
      <c r="V42" s="34">
        <f t="shared" si="21"/>
        <v>45946.548000000003</v>
      </c>
      <c r="W42" s="34">
        <f t="shared" si="21"/>
        <v>1901522.154256</v>
      </c>
    </row>
    <row r="43" spans="1:24" x14ac:dyDescent="0.25">
      <c r="A43" s="13">
        <v>2</v>
      </c>
      <c r="B43" s="13">
        <v>1</v>
      </c>
      <c r="C43" s="13">
        <v>5</v>
      </c>
      <c r="D43" s="13">
        <v>3</v>
      </c>
      <c r="E43" s="18" t="s">
        <v>29</v>
      </c>
      <c r="F43" s="9" t="s">
        <v>71</v>
      </c>
      <c r="G43" s="14">
        <f>+(G9+G10+G12)*0.0115</f>
        <v>148146.70557599998</v>
      </c>
      <c r="H43" s="14">
        <f t="shared" ref="H43:V43" si="22">+(H9+H10+H12)*0.0115</f>
        <v>47904.767999999996</v>
      </c>
      <c r="I43" s="14">
        <f t="shared" si="22"/>
        <v>30735.360000000001</v>
      </c>
      <c r="J43" s="14">
        <f t="shared" si="22"/>
        <v>128938.82615999997</v>
      </c>
      <c r="K43" s="14">
        <f t="shared" si="22"/>
        <v>34068.555143999998</v>
      </c>
      <c r="L43" s="14">
        <f t="shared" si="22"/>
        <v>119920.18557599999</v>
      </c>
      <c r="M43" s="14">
        <f t="shared" si="22"/>
        <v>155095.28819999998</v>
      </c>
      <c r="N43" s="14">
        <f t="shared" si="22"/>
        <v>494086.92</v>
      </c>
      <c r="O43" s="14">
        <f t="shared" si="22"/>
        <v>334158.27840000001</v>
      </c>
      <c r="P43" s="14">
        <f t="shared" si="22"/>
        <v>13050.108</v>
      </c>
      <c r="Q43" s="14">
        <f t="shared" si="22"/>
        <v>52815.360000000001</v>
      </c>
      <c r="R43" s="14">
        <f t="shared" si="22"/>
        <v>193708.35519999996</v>
      </c>
      <c r="S43" s="14">
        <f t="shared" si="22"/>
        <v>20501.28</v>
      </c>
      <c r="T43" s="14">
        <f t="shared" si="22"/>
        <v>51710.256000000001</v>
      </c>
      <c r="U43" s="14">
        <f t="shared" si="22"/>
        <v>30735.360000000001</v>
      </c>
      <c r="V43" s="14">
        <f t="shared" si="22"/>
        <v>45946.548000000003</v>
      </c>
      <c r="W43" s="14">
        <f>SUM(G43:V43)</f>
        <v>1901522.154256</v>
      </c>
    </row>
    <row r="44" spans="1:24" x14ac:dyDescent="0.25">
      <c r="A44" s="44">
        <v>2</v>
      </c>
      <c r="B44" s="44">
        <v>2</v>
      </c>
      <c r="C44" s="44"/>
      <c r="D44" s="44"/>
      <c r="E44" s="44"/>
      <c r="F44" s="45" t="s">
        <v>72</v>
      </c>
      <c r="G44" s="25">
        <f>G45+G64+G69+G74+G84+G96+G115</f>
        <v>6829410.8499999996</v>
      </c>
      <c r="H44" s="25">
        <f t="shared" ref="H44:W44" si="23">H45+H64+H69+H74+H84+H96+H115</f>
        <v>12800949.559999999</v>
      </c>
      <c r="I44" s="25">
        <f t="shared" si="23"/>
        <v>32650</v>
      </c>
      <c r="J44" s="25">
        <f t="shared" si="23"/>
        <v>24307513.618500002</v>
      </c>
      <c r="K44" s="25">
        <f t="shared" si="23"/>
        <v>9893959.3900000006</v>
      </c>
      <c r="L44" s="25">
        <f t="shared" si="23"/>
        <v>2857008</v>
      </c>
      <c r="M44" s="25">
        <f t="shared" si="23"/>
        <v>522627</v>
      </c>
      <c r="N44" s="25">
        <f t="shared" si="23"/>
        <v>4427240</v>
      </c>
      <c r="O44" s="25">
        <f t="shared" si="23"/>
        <v>11470929.300000001</v>
      </c>
      <c r="P44" s="25">
        <f t="shared" si="23"/>
        <v>0</v>
      </c>
      <c r="Q44" s="25">
        <f t="shared" si="23"/>
        <v>36541</v>
      </c>
      <c r="R44" s="25">
        <f t="shared" si="23"/>
        <v>6200951.3499999996</v>
      </c>
      <c r="S44" s="25">
        <f t="shared" si="23"/>
        <v>609818</v>
      </c>
      <c r="T44" s="25">
        <f t="shared" si="23"/>
        <v>3802638.65</v>
      </c>
      <c r="U44" s="25">
        <f t="shared" si="23"/>
        <v>26520</v>
      </c>
      <c r="V44" s="25">
        <f t="shared" si="23"/>
        <v>7390466.0700000003</v>
      </c>
      <c r="W44" s="25">
        <f t="shared" si="23"/>
        <v>91209222.788499996</v>
      </c>
      <c r="X44" s="78"/>
    </row>
    <row r="45" spans="1:24" x14ac:dyDescent="0.25">
      <c r="A45" s="46">
        <v>2</v>
      </c>
      <c r="B45" s="46">
        <v>2</v>
      </c>
      <c r="C45" s="46">
        <v>1</v>
      </c>
      <c r="D45" s="46"/>
      <c r="E45" s="46"/>
      <c r="F45" s="47" t="s">
        <v>72</v>
      </c>
      <c r="G45" s="48">
        <f>G46+G48+G50+G52+G54+G56+G58+G61</f>
        <v>0</v>
      </c>
      <c r="H45" s="48">
        <f t="shared" ref="H45:V45" si="24">H46+H48+H50+H52+H54+H56+H58+H61</f>
        <v>0</v>
      </c>
      <c r="I45" s="48">
        <f t="shared" si="24"/>
        <v>0</v>
      </c>
      <c r="J45" s="48">
        <f t="shared" si="24"/>
        <v>7522938.8985000001</v>
      </c>
      <c r="K45" s="48">
        <f t="shared" si="24"/>
        <v>0</v>
      </c>
      <c r="L45" s="48">
        <f t="shared" si="24"/>
        <v>0</v>
      </c>
      <c r="M45" s="48">
        <f t="shared" si="24"/>
        <v>0</v>
      </c>
      <c r="N45" s="48">
        <f t="shared" si="24"/>
        <v>0</v>
      </c>
      <c r="O45" s="48">
        <f t="shared" si="24"/>
        <v>47040</v>
      </c>
      <c r="P45" s="48">
        <f t="shared" si="24"/>
        <v>0</v>
      </c>
      <c r="Q45" s="48">
        <f t="shared" si="24"/>
        <v>0</v>
      </c>
      <c r="R45" s="48">
        <f t="shared" si="24"/>
        <v>0</v>
      </c>
      <c r="S45" s="48">
        <f t="shared" si="24"/>
        <v>0</v>
      </c>
      <c r="T45" s="48">
        <f t="shared" si="24"/>
        <v>0</v>
      </c>
      <c r="U45" s="48">
        <f t="shared" si="24"/>
        <v>0</v>
      </c>
      <c r="V45" s="48">
        <f t="shared" si="24"/>
        <v>0</v>
      </c>
      <c r="W45" s="48">
        <f t="shared" ref="W45:W63" si="25">SUM(G45:V45)</f>
        <v>7569978.8985000001</v>
      </c>
      <c r="X45" s="78"/>
    </row>
    <row r="46" spans="1:24" x14ac:dyDescent="0.25">
      <c r="A46" s="2">
        <v>2</v>
      </c>
      <c r="B46" s="2">
        <v>2</v>
      </c>
      <c r="C46" s="2">
        <v>1</v>
      </c>
      <c r="D46" s="2">
        <v>1</v>
      </c>
      <c r="E46" s="2"/>
      <c r="F46" s="8" t="s">
        <v>73</v>
      </c>
      <c r="G46" s="49">
        <f>G47</f>
        <v>0</v>
      </c>
      <c r="H46" s="49">
        <f t="shared" ref="H46:V46" si="26">H47</f>
        <v>0</v>
      </c>
      <c r="I46" s="49">
        <f t="shared" si="26"/>
        <v>0</v>
      </c>
      <c r="J46" s="49">
        <f t="shared" si="26"/>
        <v>12400</v>
      </c>
      <c r="K46" s="49">
        <f t="shared" si="26"/>
        <v>0</v>
      </c>
      <c r="L46" s="49">
        <f t="shared" si="26"/>
        <v>0</v>
      </c>
      <c r="M46" s="49">
        <f t="shared" si="26"/>
        <v>0</v>
      </c>
      <c r="N46" s="49">
        <f t="shared" si="26"/>
        <v>0</v>
      </c>
      <c r="O46" s="49">
        <f t="shared" si="26"/>
        <v>0</v>
      </c>
      <c r="P46" s="49">
        <f t="shared" si="26"/>
        <v>0</v>
      </c>
      <c r="Q46" s="49">
        <f t="shared" si="26"/>
        <v>0</v>
      </c>
      <c r="R46" s="49">
        <f t="shared" si="26"/>
        <v>0</v>
      </c>
      <c r="S46" s="49">
        <f t="shared" si="26"/>
        <v>0</v>
      </c>
      <c r="T46" s="49">
        <f t="shared" si="26"/>
        <v>0</v>
      </c>
      <c r="U46" s="49">
        <f t="shared" si="26"/>
        <v>0</v>
      </c>
      <c r="V46" s="49">
        <f t="shared" si="26"/>
        <v>0</v>
      </c>
      <c r="W46" s="49">
        <f t="shared" si="25"/>
        <v>12400</v>
      </c>
    </row>
    <row r="47" spans="1:24" x14ac:dyDescent="0.25">
      <c r="A47" s="13">
        <v>2</v>
      </c>
      <c r="B47" s="13">
        <v>2</v>
      </c>
      <c r="C47" s="13">
        <v>1</v>
      </c>
      <c r="D47" s="13">
        <v>1</v>
      </c>
      <c r="E47" s="18" t="s">
        <v>29</v>
      </c>
      <c r="F47" s="9" t="s">
        <v>73</v>
      </c>
      <c r="G47" s="14"/>
      <c r="H47" s="14"/>
      <c r="I47" s="14"/>
      <c r="J47" s="14">
        <v>12400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>
        <f t="shared" si="25"/>
        <v>12400</v>
      </c>
    </row>
    <row r="48" spans="1:24" x14ac:dyDescent="0.25">
      <c r="A48" s="2">
        <v>2</v>
      </c>
      <c r="B48" s="2">
        <v>2</v>
      </c>
      <c r="C48" s="2">
        <v>1</v>
      </c>
      <c r="D48" s="2">
        <v>2</v>
      </c>
      <c r="E48" s="2"/>
      <c r="F48" s="8" t="s">
        <v>74</v>
      </c>
      <c r="G48" s="49">
        <f>G49</f>
        <v>0</v>
      </c>
      <c r="H48" s="49">
        <f t="shared" ref="H48:V48" si="27">H49</f>
        <v>0</v>
      </c>
      <c r="I48" s="49">
        <f t="shared" si="27"/>
        <v>0</v>
      </c>
      <c r="J48" s="49">
        <f t="shared" si="27"/>
        <v>325842.09249999997</v>
      </c>
      <c r="K48" s="49">
        <f t="shared" si="27"/>
        <v>0</v>
      </c>
      <c r="L48" s="49">
        <f t="shared" si="27"/>
        <v>0</v>
      </c>
      <c r="M48" s="49">
        <f t="shared" si="27"/>
        <v>0</v>
      </c>
      <c r="N48" s="49">
        <f t="shared" si="27"/>
        <v>0</v>
      </c>
      <c r="O48" s="49">
        <f t="shared" si="27"/>
        <v>0</v>
      </c>
      <c r="P48" s="49">
        <f t="shared" si="27"/>
        <v>0</v>
      </c>
      <c r="Q48" s="49">
        <f t="shared" si="27"/>
        <v>0</v>
      </c>
      <c r="R48" s="49">
        <f t="shared" si="27"/>
        <v>0</v>
      </c>
      <c r="S48" s="49">
        <f t="shared" si="27"/>
        <v>0</v>
      </c>
      <c r="T48" s="49">
        <f t="shared" si="27"/>
        <v>0</v>
      </c>
      <c r="U48" s="49">
        <f t="shared" si="27"/>
        <v>0</v>
      </c>
      <c r="V48" s="49">
        <f t="shared" si="27"/>
        <v>0</v>
      </c>
      <c r="W48" s="49">
        <f t="shared" si="25"/>
        <v>325842.09249999997</v>
      </c>
    </row>
    <row r="49" spans="1:24" x14ac:dyDescent="0.25">
      <c r="A49" s="13">
        <v>2</v>
      </c>
      <c r="B49" s="13">
        <v>2</v>
      </c>
      <c r="C49" s="13">
        <v>1</v>
      </c>
      <c r="D49" s="13">
        <v>2</v>
      </c>
      <c r="E49" s="18" t="s">
        <v>29</v>
      </c>
      <c r="F49" s="9" t="s">
        <v>74</v>
      </c>
      <c r="G49" s="14"/>
      <c r="H49" s="14"/>
      <c r="I49" s="14"/>
      <c r="J49" s="14">
        <f>283340.95*1.15</f>
        <v>325842.09249999997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>
        <f t="shared" si="25"/>
        <v>325842.09249999997</v>
      </c>
    </row>
    <row r="50" spans="1:24" x14ac:dyDescent="0.25">
      <c r="A50" s="2">
        <v>2</v>
      </c>
      <c r="B50" s="2">
        <v>2</v>
      </c>
      <c r="C50" s="2">
        <v>1</v>
      </c>
      <c r="D50" s="2">
        <v>3</v>
      </c>
      <c r="E50" s="2"/>
      <c r="F50" s="8" t="s">
        <v>75</v>
      </c>
      <c r="G50" s="49">
        <f>G51</f>
        <v>0</v>
      </c>
      <c r="H50" s="49">
        <f t="shared" ref="H50:V50" si="28">H51</f>
        <v>0</v>
      </c>
      <c r="I50" s="49">
        <f t="shared" si="28"/>
        <v>0</v>
      </c>
      <c r="J50" s="49">
        <f t="shared" si="28"/>
        <v>461554.91200000001</v>
      </c>
      <c r="K50" s="49">
        <f t="shared" si="28"/>
        <v>0</v>
      </c>
      <c r="L50" s="49">
        <f t="shared" si="28"/>
        <v>0</v>
      </c>
      <c r="M50" s="49">
        <f t="shared" si="28"/>
        <v>0</v>
      </c>
      <c r="N50" s="49">
        <f t="shared" si="28"/>
        <v>0</v>
      </c>
      <c r="O50" s="49">
        <f t="shared" si="28"/>
        <v>0</v>
      </c>
      <c r="P50" s="49">
        <f t="shared" si="28"/>
        <v>0</v>
      </c>
      <c r="Q50" s="49">
        <f t="shared" si="28"/>
        <v>0</v>
      </c>
      <c r="R50" s="49">
        <f t="shared" si="28"/>
        <v>0</v>
      </c>
      <c r="S50" s="49">
        <f t="shared" si="28"/>
        <v>0</v>
      </c>
      <c r="T50" s="49">
        <f t="shared" si="28"/>
        <v>0</v>
      </c>
      <c r="U50" s="49">
        <f t="shared" si="28"/>
        <v>0</v>
      </c>
      <c r="V50" s="49">
        <f t="shared" si="28"/>
        <v>0</v>
      </c>
      <c r="W50" s="49">
        <f t="shared" si="25"/>
        <v>461554.91200000001</v>
      </c>
    </row>
    <row r="51" spans="1:24" x14ac:dyDescent="0.25">
      <c r="A51" s="13">
        <v>2</v>
      </c>
      <c r="B51" s="13">
        <v>2</v>
      </c>
      <c r="C51" s="13">
        <v>1</v>
      </c>
      <c r="D51" s="13">
        <v>3</v>
      </c>
      <c r="E51" s="18" t="s">
        <v>29</v>
      </c>
      <c r="F51" s="9" t="s">
        <v>76</v>
      </c>
      <c r="G51" s="14"/>
      <c r="H51" s="14"/>
      <c r="I51" s="14"/>
      <c r="J51" s="14">
        <f>412102.6*1.12</f>
        <v>461554.91200000001</v>
      </c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>
        <f t="shared" si="25"/>
        <v>461554.91200000001</v>
      </c>
    </row>
    <row r="52" spans="1:24" x14ac:dyDescent="0.25">
      <c r="A52" s="2">
        <v>2</v>
      </c>
      <c r="B52" s="2">
        <v>2</v>
      </c>
      <c r="C52" s="2">
        <v>1</v>
      </c>
      <c r="D52" s="2">
        <v>4</v>
      </c>
      <c r="E52" s="2"/>
      <c r="F52" s="8" t="s">
        <v>77</v>
      </c>
      <c r="G52" s="49">
        <f>G53</f>
        <v>0</v>
      </c>
      <c r="H52" s="49">
        <f t="shared" ref="H52:V52" si="29">H53</f>
        <v>0</v>
      </c>
      <c r="I52" s="49">
        <f t="shared" si="29"/>
        <v>0</v>
      </c>
      <c r="J52" s="49">
        <f t="shared" si="29"/>
        <v>2138.864</v>
      </c>
      <c r="K52" s="49">
        <f t="shared" si="29"/>
        <v>0</v>
      </c>
      <c r="L52" s="49">
        <f t="shared" si="29"/>
        <v>0</v>
      </c>
      <c r="M52" s="49">
        <f t="shared" si="29"/>
        <v>0</v>
      </c>
      <c r="N52" s="49">
        <f t="shared" si="29"/>
        <v>0</v>
      </c>
      <c r="O52" s="49">
        <f t="shared" si="29"/>
        <v>0</v>
      </c>
      <c r="P52" s="49">
        <f t="shared" si="29"/>
        <v>0</v>
      </c>
      <c r="Q52" s="49">
        <f t="shared" si="29"/>
        <v>0</v>
      </c>
      <c r="R52" s="49">
        <f t="shared" si="29"/>
        <v>0</v>
      </c>
      <c r="S52" s="49">
        <f t="shared" si="29"/>
        <v>0</v>
      </c>
      <c r="T52" s="49">
        <f t="shared" si="29"/>
        <v>0</v>
      </c>
      <c r="U52" s="49">
        <f t="shared" si="29"/>
        <v>0</v>
      </c>
      <c r="V52" s="49">
        <f t="shared" si="29"/>
        <v>0</v>
      </c>
      <c r="W52" s="49">
        <f t="shared" si="25"/>
        <v>2138.864</v>
      </c>
    </row>
    <row r="53" spans="1:24" x14ac:dyDescent="0.25">
      <c r="A53" s="13">
        <v>2</v>
      </c>
      <c r="B53" s="13">
        <v>2</v>
      </c>
      <c r="C53" s="13">
        <v>1</v>
      </c>
      <c r="D53" s="13">
        <v>4</v>
      </c>
      <c r="E53" s="18" t="s">
        <v>29</v>
      </c>
      <c r="F53" s="9" t="s">
        <v>78</v>
      </c>
      <c r="G53" s="14"/>
      <c r="H53" s="14"/>
      <c r="I53" s="14"/>
      <c r="J53" s="14">
        <f>1909.7*1.12</f>
        <v>2138.864</v>
      </c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>
        <f t="shared" si="25"/>
        <v>2138.864</v>
      </c>
    </row>
    <row r="54" spans="1:24" x14ac:dyDescent="0.25">
      <c r="A54" s="2">
        <v>2</v>
      </c>
      <c r="B54" s="2">
        <v>2</v>
      </c>
      <c r="C54" s="2">
        <v>1</v>
      </c>
      <c r="D54" s="2">
        <v>5</v>
      </c>
      <c r="E54" s="2"/>
      <c r="F54" s="8" t="s">
        <v>79</v>
      </c>
      <c r="G54" s="49">
        <f>G55</f>
        <v>0</v>
      </c>
      <c r="H54" s="49">
        <f t="shared" ref="H54:V54" si="30">H55</f>
        <v>0</v>
      </c>
      <c r="I54" s="49">
        <f t="shared" si="30"/>
        <v>0</v>
      </c>
      <c r="J54" s="49">
        <f t="shared" si="30"/>
        <v>1474725.61</v>
      </c>
      <c r="K54" s="49">
        <f t="shared" si="30"/>
        <v>0</v>
      </c>
      <c r="L54" s="49">
        <f t="shared" si="30"/>
        <v>0</v>
      </c>
      <c r="M54" s="49">
        <f t="shared" si="30"/>
        <v>0</v>
      </c>
      <c r="N54" s="49">
        <f t="shared" si="30"/>
        <v>0</v>
      </c>
      <c r="O54" s="49">
        <f t="shared" si="30"/>
        <v>0</v>
      </c>
      <c r="P54" s="49">
        <f t="shared" si="30"/>
        <v>0</v>
      </c>
      <c r="Q54" s="49">
        <f t="shared" si="30"/>
        <v>0</v>
      </c>
      <c r="R54" s="49">
        <f t="shared" si="30"/>
        <v>0</v>
      </c>
      <c r="S54" s="49">
        <f t="shared" si="30"/>
        <v>0</v>
      </c>
      <c r="T54" s="49">
        <f t="shared" si="30"/>
        <v>0</v>
      </c>
      <c r="U54" s="49">
        <f t="shared" si="30"/>
        <v>0</v>
      </c>
      <c r="V54" s="49">
        <f t="shared" si="30"/>
        <v>0</v>
      </c>
      <c r="W54" s="49">
        <f t="shared" si="25"/>
        <v>1474725.61</v>
      </c>
    </row>
    <row r="55" spans="1:24" x14ac:dyDescent="0.25">
      <c r="A55" s="13">
        <v>2</v>
      </c>
      <c r="B55" s="13">
        <v>2</v>
      </c>
      <c r="C55" s="13">
        <v>1</v>
      </c>
      <c r="D55" s="13">
        <v>5</v>
      </c>
      <c r="E55" s="18" t="s">
        <v>29</v>
      </c>
      <c r="F55" s="9" t="s">
        <v>79</v>
      </c>
      <c r="G55" s="14"/>
      <c r="H55" s="14"/>
      <c r="I55" s="14"/>
      <c r="J55" s="14">
        <f>1474724.36+1.25</f>
        <v>1474725.61</v>
      </c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>
        <f t="shared" si="25"/>
        <v>1474725.61</v>
      </c>
    </row>
    <row r="56" spans="1:24" x14ac:dyDescent="0.25">
      <c r="A56" s="2">
        <v>2</v>
      </c>
      <c r="B56" s="2">
        <v>2</v>
      </c>
      <c r="C56" s="2">
        <v>1</v>
      </c>
      <c r="D56" s="2">
        <v>6</v>
      </c>
      <c r="E56" s="2"/>
      <c r="F56" s="8" t="s">
        <v>80</v>
      </c>
      <c r="G56" s="49">
        <f>G57</f>
        <v>0</v>
      </c>
      <c r="H56" s="49">
        <f t="shared" ref="H56:V56" si="31">H57</f>
        <v>0</v>
      </c>
      <c r="I56" s="49">
        <f t="shared" si="31"/>
        <v>0</v>
      </c>
      <c r="J56" s="49">
        <f t="shared" si="31"/>
        <v>4366534.32</v>
      </c>
      <c r="K56" s="49">
        <f t="shared" si="31"/>
        <v>0</v>
      </c>
      <c r="L56" s="49">
        <f t="shared" si="31"/>
        <v>0</v>
      </c>
      <c r="M56" s="49">
        <f t="shared" si="31"/>
        <v>0</v>
      </c>
      <c r="N56" s="49">
        <f t="shared" si="31"/>
        <v>0</v>
      </c>
      <c r="O56" s="49">
        <f t="shared" si="31"/>
        <v>0</v>
      </c>
      <c r="P56" s="49">
        <f t="shared" si="31"/>
        <v>0</v>
      </c>
      <c r="Q56" s="49">
        <f t="shared" si="31"/>
        <v>0</v>
      </c>
      <c r="R56" s="49">
        <f t="shared" si="31"/>
        <v>0</v>
      </c>
      <c r="S56" s="49">
        <f t="shared" si="31"/>
        <v>0</v>
      </c>
      <c r="T56" s="49">
        <f t="shared" si="31"/>
        <v>0</v>
      </c>
      <c r="U56" s="49">
        <f t="shared" si="31"/>
        <v>0</v>
      </c>
      <c r="V56" s="49">
        <f t="shared" si="31"/>
        <v>0</v>
      </c>
      <c r="W56" s="49">
        <f t="shared" si="25"/>
        <v>4366534.32</v>
      </c>
    </row>
    <row r="57" spans="1:24" x14ac:dyDescent="0.25">
      <c r="A57" s="13">
        <v>2</v>
      </c>
      <c r="B57" s="13">
        <v>2</v>
      </c>
      <c r="C57" s="13">
        <v>1</v>
      </c>
      <c r="D57" s="13">
        <v>6</v>
      </c>
      <c r="E57" s="18" t="s">
        <v>29</v>
      </c>
      <c r="F57" s="9" t="s">
        <v>81</v>
      </c>
      <c r="G57" s="14"/>
      <c r="H57" s="14"/>
      <c r="I57" s="14"/>
      <c r="J57" s="14">
        <f>363877.86*12</f>
        <v>4366534.32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>
        <f t="shared" si="25"/>
        <v>4366534.32</v>
      </c>
    </row>
    <row r="58" spans="1:24" x14ac:dyDescent="0.25">
      <c r="A58" s="2">
        <v>2</v>
      </c>
      <c r="B58" s="2">
        <v>2</v>
      </c>
      <c r="C58" s="2">
        <v>1</v>
      </c>
      <c r="D58" s="2">
        <v>7</v>
      </c>
      <c r="E58" s="2"/>
      <c r="F58" s="8" t="s">
        <v>82</v>
      </c>
      <c r="G58" s="49">
        <f>SUM(G59:G60)</f>
        <v>0</v>
      </c>
      <c r="H58" s="49">
        <f t="shared" ref="H58:V58" si="32">SUM(H59:H60)</f>
        <v>0</v>
      </c>
      <c r="I58" s="49">
        <f t="shared" si="32"/>
        <v>0</v>
      </c>
      <c r="J58" s="49">
        <f t="shared" si="32"/>
        <v>767805.6</v>
      </c>
      <c r="K58" s="49">
        <f t="shared" si="32"/>
        <v>0</v>
      </c>
      <c r="L58" s="49">
        <f t="shared" si="32"/>
        <v>0</v>
      </c>
      <c r="M58" s="49">
        <f t="shared" si="32"/>
        <v>0</v>
      </c>
      <c r="N58" s="49">
        <f t="shared" si="32"/>
        <v>0</v>
      </c>
      <c r="O58" s="49">
        <f t="shared" si="32"/>
        <v>0</v>
      </c>
      <c r="P58" s="49">
        <f t="shared" si="32"/>
        <v>0</v>
      </c>
      <c r="Q58" s="49">
        <f t="shared" si="32"/>
        <v>0</v>
      </c>
      <c r="R58" s="49">
        <f t="shared" si="32"/>
        <v>0</v>
      </c>
      <c r="S58" s="49">
        <f t="shared" si="32"/>
        <v>0</v>
      </c>
      <c r="T58" s="49">
        <f t="shared" si="32"/>
        <v>0</v>
      </c>
      <c r="U58" s="49">
        <f t="shared" si="32"/>
        <v>0</v>
      </c>
      <c r="V58" s="49">
        <f t="shared" si="32"/>
        <v>0</v>
      </c>
      <c r="W58" s="49">
        <f t="shared" si="25"/>
        <v>767805.6</v>
      </c>
    </row>
    <row r="59" spans="1:24" x14ac:dyDescent="0.25">
      <c r="A59" s="13">
        <v>2</v>
      </c>
      <c r="B59" s="13">
        <v>2</v>
      </c>
      <c r="C59" s="13">
        <v>1</v>
      </c>
      <c r="D59" s="13">
        <v>7</v>
      </c>
      <c r="E59" s="18" t="s">
        <v>29</v>
      </c>
      <c r="F59" s="9" t="s">
        <v>83</v>
      </c>
      <c r="G59" s="14"/>
      <c r="H59" s="14"/>
      <c r="I59" s="14"/>
      <c r="J59" s="14">
        <f>(193294*2)*1.2</f>
        <v>463905.6</v>
      </c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>
        <f t="shared" si="25"/>
        <v>463905.6</v>
      </c>
    </row>
    <row r="60" spans="1:24" x14ac:dyDescent="0.25">
      <c r="A60" s="13">
        <v>2</v>
      </c>
      <c r="B60" s="13">
        <v>2</v>
      </c>
      <c r="C60" s="13">
        <v>1</v>
      </c>
      <c r="D60" s="13">
        <v>7</v>
      </c>
      <c r="E60" s="18" t="s">
        <v>49</v>
      </c>
      <c r="F60" s="9" t="s">
        <v>84</v>
      </c>
      <c r="G60" s="14"/>
      <c r="H60" s="14"/>
      <c r="I60" s="14"/>
      <c r="J60" s="14">
        <f>(20260*12)*1.25</f>
        <v>303900</v>
      </c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>
        <f t="shared" si="25"/>
        <v>303900</v>
      </c>
    </row>
    <row r="61" spans="1:24" x14ac:dyDescent="0.25">
      <c r="A61" s="2">
        <v>2</v>
      </c>
      <c r="B61" s="2">
        <v>2</v>
      </c>
      <c r="C61" s="2">
        <v>1</v>
      </c>
      <c r="D61" s="2">
        <v>8</v>
      </c>
      <c r="E61" s="2"/>
      <c r="F61" s="8" t="s">
        <v>85</v>
      </c>
      <c r="G61" s="49">
        <f>SUM(G62:G63)</f>
        <v>0</v>
      </c>
      <c r="H61" s="49">
        <f t="shared" ref="H61:V61" si="33">SUM(H62:H63)</f>
        <v>0</v>
      </c>
      <c r="I61" s="49">
        <f t="shared" si="33"/>
        <v>0</v>
      </c>
      <c r="J61" s="49">
        <f t="shared" si="33"/>
        <v>111937.5</v>
      </c>
      <c r="K61" s="49">
        <f t="shared" si="33"/>
        <v>0</v>
      </c>
      <c r="L61" s="49">
        <f t="shared" si="33"/>
        <v>0</v>
      </c>
      <c r="M61" s="49">
        <f t="shared" si="33"/>
        <v>0</v>
      </c>
      <c r="N61" s="49">
        <f t="shared" si="33"/>
        <v>0</v>
      </c>
      <c r="O61" s="49">
        <f t="shared" si="33"/>
        <v>47040</v>
      </c>
      <c r="P61" s="49">
        <f t="shared" si="33"/>
        <v>0</v>
      </c>
      <c r="Q61" s="49">
        <f t="shared" si="33"/>
        <v>0</v>
      </c>
      <c r="R61" s="49">
        <f t="shared" si="33"/>
        <v>0</v>
      </c>
      <c r="S61" s="49">
        <f t="shared" si="33"/>
        <v>0</v>
      </c>
      <c r="T61" s="49">
        <f t="shared" si="33"/>
        <v>0</v>
      </c>
      <c r="U61" s="49">
        <f t="shared" si="33"/>
        <v>0</v>
      </c>
      <c r="V61" s="49">
        <f t="shared" si="33"/>
        <v>0</v>
      </c>
      <c r="W61" s="49">
        <f t="shared" si="25"/>
        <v>158977.5</v>
      </c>
    </row>
    <row r="62" spans="1:24" x14ac:dyDescent="0.25">
      <c r="A62" s="13">
        <v>2</v>
      </c>
      <c r="B62" s="13">
        <v>2</v>
      </c>
      <c r="C62" s="13">
        <v>1</v>
      </c>
      <c r="D62" s="13">
        <v>8</v>
      </c>
      <c r="E62" s="18" t="s">
        <v>29</v>
      </c>
      <c r="F62" s="9" t="s">
        <v>85</v>
      </c>
      <c r="G62" s="14"/>
      <c r="H62" s="14"/>
      <c r="I62" s="14"/>
      <c r="J62" s="14">
        <v>36000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>
        <f t="shared" si="25"/>
        <v>36000</v>
      </c>
    </row>
    <row r="63" spans="1:24" x14ac:dyDescent="0.25">
      <c r="A63" s="13">
        <v>2</v>
      </c>
      <c r="B63" s="13">
        <v>2</v>
      </c>
      <c r="C63" s="13">
        <v>1</v>
      </c>
      <c r="D63" s="13">
        <v>8</v>
      </c>
      <c r="E63" s="18" t="s">
        <v>49</v>
      </c>
      <c r="F63" s="9" t="s">
        <v>86</v>
      </c>
      <c r="G63" s="14"/>
      <c r="H63" s="14"/>
      <c r="I63" s="14"/>
      <c r="J63" s="14">
        <f>(20250*3)*1.25</f>
        <v>75937.5</v>
      </c>
      <c r="K63" s="14"/>
      <c r="L63" s="14"/>
      <c r="M63" s="14"/>
      <c r="N63" s="14"/>
      <c r="O63" s="14">
        <f>15680*3</f>
        <v>47040</v>
      </c>
      <c r="P63" s="14"/>
      <c r="Q63" s="14"/>
      <c r="R63" s="14"/>
      <c r="S63" s="14"/>
      <c r="T63" s="14"/>
      <c r="U63" s="14"/>
      <c r="V63" s="14"/>
      <c r="W63" s="14">
        <f t="shared" si="25"/>
        <v>122977.5</v>
      </c>
    </row>
    <row r="64" spans="1:24" x14ac:dyDescent="0.25">
      <c r="A64" s="3">
        <v>2</v>
      </c>
      <c r="B64" s="3">
        <v>2</v>
      </c>
      <c r="C64" s="3">
        <v>2</v>
      </c>
      <c r="D64" s="3"/>
      <c r="E64" s="3"/>
      <c r="F64" s="7" t="s">
        <v>87</v>
      </c>
      <c r="G64" s="48">
        <f>+G65+G67</f>
        <v>615293</v>
      </c>
      <c r="H64" s="48">
        <f t="shared" ref="H64:W64" si="34">+H65+H67</f>
        <v>0</v>
      </c>
      <c r="I64" s="48">
        <f t="shared" si="34"/>
        <v>0</v>
      </c>
      <c r="J64" s="48">
        <f t="shared" si="34"/>
        <v>0</v>
      </c>
      <c r="K64" s="48">
        <f t="shared" si="34"/>
        <v>205860</v>
      </c>
      <c r="L64" s="48">
        <f t="shared" si="34"/>
        <v>421265</v>
      </c>
      <c r="M64" s="48">
        <f t="shared" si="34"/>
        <v>125864</v>
      </c>
      <c r="N64" s="48">
        <f t="shared" si="34"/>
        <v>156894</v>
      </c>
      <c r="O64" s="48">
        <f t="shared" si="34"/>
        <v>159846</v>
      </c>
      <c r="P64" s="48">
        <f t="shared" si="34"/>
        <v>0</v>
      </c>
      <c r="Q64" s="48">
        <f t="shared" si="34"/>
        <v>0</v>
      </c>
      <c r="R64" s="48">
        <f t="shared" si="34"/>
        <v>513318</v>
      </c>
      <c r="S64" s="48">
        <f t="shared" si="34"/>
        <v>509625</v>
      </c>
      <c r="T64" s="48">
        <f t="shared" si="34"/>
        <v>313230</v>
      </c>
      <c r="U64" s="48">
        <f t="shared" si="34"/>
        <v>0</v>
      </c>
      <c r="V64" s="48">
        <f t="shared" si="34"/>
        <v>115825</v>
      </c>
      <c r="W64" s="48">
        <f t="shared" si="34"/>
        <v>3137020</v>
      </c>
      <c r="X64" s="78"/>
    </row>
    <row r="65" spans="1:24" x14ac:dyDescent="0.25">
      <c r="A65" s="2">
        <v>2</v>
      </c>
      <c r="B65" s="2">
        <v>2</v>
      </c>
      <c r="C65" s="2">
        <v>2</v>
      </c>
      <c r="D65" s="2">
        <v>1</v>
      </c>
      <c r="E65" s="2"/>
      <c r="F65" s="8" t="s">
        <v>88</v>
      </c>
      <c r="G65" s="49">
        <f>G66</f>
        <v>358450</v>
      </c>
      <c r="H65" s="49">
        <f t="shared" ref="H65:W65" si="35">H66</f>
        <v>0</v>
      </c>
      <c r="I65" s="49">
        <f t="shared" si="35"/>
        <v>0</v>
      </c>
      <c r="J65" s="49">
        <f t="shared" si="35"/>
        <v>0</v>
      </c>
      <c r="K65" s="49">
        <f t="shared" si="35"/>
        <v>205860</v>
      </c>
      <c r="L65" s="49">
        <f t="shared" si="35"/>
        <v>185645</v>
      </c>
      <c r="M65" s="49">
        <f t="shared" si="35"/>
        <v>125864</v>
      </c>
      <c r="N65" s="49">
        <f t="shared" si="35"/>
        <v>156894</v>
      </c>
      <c r="O65" s="49">
        <f t="shared" si="35"/>
        <v>159846</v>
      </c>
      <c r="P65" s="49">
        <f t="shared" si="35"/>
        <v>0</v>
      </c>
      <c r="Q65" s="49">
        <f t="shared" si="35"/>
        <v>0</v>
      </c>
      <c r="R65" s="49">
        <f t="shared" si="35"/>
        <v>254698</v>
      </c>
      <c r="S65" s="49">
        <f t="shared" si="35"/>
        <v>152680</v>
      </c>
      <c r="T65" s="49">
        <f t="shared" si="35"/>
        <v>154690</v>
      </c>
      <c r="U65" s="49">
        <f t="shared" si="35"/>
        <v>0</v>
      </c>
      <c r="V65" s="49">
        <f t="shared" si="35"/>
        <v>115825</v>
      </c>
      <c r="W65" s="49">
        <f t="shared" si="35"/>
        <v>1870452</v>
      </c>
    </row>
    <row r="66" spans="1:24" x14ac:dyDescent="0.25">
      <c r="A66" s="13">
        <v>2</v>
      </c>
      <c r="B66" s="13">
        <v>2</v>
      </c>
      <c r="C66" s="13">
        <v>2</v>
      </c>
      <c r="D66" s="13">
        <v>1</v>
      </c>
      <c r="E66" s="18" t="s">
        <v>29</v>
      </c>
      <c r="F66" s="9" t="s">
        <v>87</v>
      </c>
      <c r="G66" s="14">
        <v>358450</v>
      </c>
      <c r="H66" s="14"/>
      <c r="I66" s="14"/>
      <c r="J66" s="14"/>
      <c r="K66" s="14">
        <v>205860</v>
      </c>
      <c r="L66" s="14">
        <v>185645</v>
      </c>
      <c r="M66" s="14">
        <v>125864</v>
      </c>
      <c r="N66" s="14">
        <v>156894</v>
      </c>
      <c r="O66" s="14">
        <v>159846</v>
      </c>
      <c r="P66" s="14"/>
      <c r="Q66" s="14"/>
      <c r="R66" s="14">
        <v>254698</v>
      </c>
      <c r="S66" s="14">
        <v>152680</v>
      </c>
      <c r="T66" s="14">
        <v>154690</v>
      </c>
      <c r="U66" s="14"/>
      <c r="V66" s="14">
        <v>115825</v>
      </c>
      <c r="W66" s="14">
        <f>SUM(G66:V66)</f>
        <v>1870452</v>
      </c>
    </row>
    <row r="67" spans="1:24" x14ac:dyDescent="0.25">
      <c r="A67" s="2">
        <v>2</v>
      </c>
      <c r="B67" s="2">
        <v>2</v>
      </c>
      <c r="C67" s="2">
        <v>2</v>
      </c>
      <c r="D67" s="2">
        <v>2</v>
      </c>
      <c r="E67" s="2"/>
      <c r="F67" s="8" t="s">
        <v>89</v>
      </c>
      <c r="G67" s="49">
        <f>G68</f>
        <v>256843</v>
      </c>
      <c r="H67" s="49">
        <f t="shared" ref="H67:W67" si="36">H68</f>
        <v>0</v>
      </c>
      <c r="I67" s="49">
        <f t="shared" si="36"/>
        <v>0</v>
      </c>
      <c r="J67" s="49">
        <f t="shared" si="36"/>
        <v>0</v>
      </c>
      <c r="K67" s="49">
        <f t="shared" si="36"/>
        <v>0</v>
      </c>
      <c r="L67" s="49">
        <f t="shared" si="36"/>
        <v>235620</v>
      </c>
      <c r="M67" s="49">
        <f t="shared" si="36"/>
        <v>0</v>
      </c>
      <c r="N67" s="49">
        <f t="shared" si="36"/>
        <v>0</v>
      </c>
      <c r="O67" s="49">
        <f t="shared" si="36"/>
        <v>0</v>
      </c>
      <c r="P67" s="49">
        <f t="shared" si="36"/>
        <v>0</v>
      </c>
      <c r="Q67" s="49">
        <f t="shared" si="36"/>
        <v>0</v>
      </c>
      <c r="R67" s="49">
        <f t="shared" si="36"/>
        <v>258620</v>
      </c>
      <c r="S67" s="49">
        <f t="shared" si="36"/>
        <v>356945</v>
      </c>
      <c r="T67" s="49">
        <f t="shared" si="36"/>
        <v>158540</v>
      </c>
      <c r="U67" s="49">
        <f t="shared" si="36"/>
        <v>0</v>
      </c>
      <c r="V67" s="49">
        <f t="shared" si="36"/>
        <v>0</v>
      </c>
      <c r="W67" s="49">
        <f t="shared" si="36"/>
        <v>1266568</v>
      </c>
    </row>
    <row r="68" spans="1:24" x14ac:dyDescent="0.25">
      <c r="A68" s="13">
        <v>2</v>
      </c>
      <c r="B68" s="13">
        <v>2</v>
      </c>
      <c r="C68" s="13">
        <v>2</v>
      </c>
      <c r="D68" s="13">
        <v>2</v>
      </c>
      <c r="E68" s="18" t="s">
        <v>29</v>
      </c>
      <c r="F68" s="9" t="s">
        <v>89</v>
      </c>
      <c r="G68" s="14">
        <v>256843</v>
      </c>
      <c r="H68" s="14"/>
      <c r="I68" s="14"/>
      <c r="J68" s="14"/>
      <c r="K68" s="14"/>
      <c r="L68" s="14">
        <v>235620</v>
      </c>
      <c r="M68" s="14"/>
      <c r="N68" s="14"/>
      <c r="O68" s="14"/>
      <c r="P68" s="14"/>
      <c r="Q68" s="14"/>
      <c r="R68" s="14">
        <v>258620</v>
      </c>
      <c r="S68" s="14">
        <v>356945</v>
      </c>
      <c r="T68" s="14">
        <v>158540</v>
      </c>
      <c r="U68" s="14"/>
      <c r="V68" s="14"/>
      <c r="W68" s="14">
        <f>SUM(G68:V68)</f>
        <v>1266568</v>
      </c>
    </row>
    <row r="69" spans="1:24" x14ac:dyDescent="0.25">
      <c r="A69" s="3">
        <v>2</v>
      </c>
      <c r="B69" s="3">
        <v>2</v>
      </c>
      <c r="C69" s="3">
        <v>4</v>
      </c>
      <c r="D69" s="3"/>
      <c r="E69" s="3"/>
      <c r="F69" s="7" t="s">
        <v>90</v>
      </c>
      <c r="G69" s="48">
        <f>+G70+G72</f>
        <v>21600</v>
      </c>
      <c r="H69" s="48">
        <f t="shared" ref="H69:W69" si="37">+H70+H72</f>
        <v>2400</v>
      </c>
      <c r="I69" s="48">
        <f t="shared" si="37"/>
        <v>0</v>
      </c>
      <c r="J69" s="48">
        <f t="shared" si="37"/>
        <v>6000</v>
      </c>
      <c r="K69" s="48">
        <f t="shared" si="37"/>
        <v>3600</v>
      </c>
      <c r="L69" s="48">
        <f t="shared" si="37"/>
        <v>3600</v>
      </c>
      <c r="M69" s="48">
        <f t="shared" si="37"/>
        <v>74000</v>
      </c>
      <c r="N69" s="48">
        <f t="shared" si="37"/>
        <v>139800</v>
      </c>
      <c r="O69" s="48">
        <f t="shared" si="37"/>
        <v>185000</v>
      </c>
      <c r="P69" s="48">
        <f t="shared" si="37"/>
        <v>0</v>
      </c>
      <c r="Q69" s="48">
        <f t="shared" si="37"/>
        <v>0</v>
      </c>
      <c r="R69" s="48">
        <f t="shared" si="37"/>
        <v>78800</v>
      </c>
      <c r="S69" s="48">
        <f t="shared" si="37"/>
        <v>6000</v>
      </c>
      <c r="T69" s="48">
        <f t="shared" si="37"/>
        <v>188600</v>
      </c>
      <c r="U69" s="48">
        <f t="shared" si="37"/>
        <v>0</v>
      </c>
      <c r="V69" s="48">
        <f t="shared" si="37"/>
        <v>2400</v>
      </c>
      <c r="W69" s="48">
        <f t="shared" si="37"/>
        <v>711800</v>
      </c>
      <c r="X69" s="78"/>
    </row>
    <row r="70" spans="1:24" x14ac:dyDescent="0.25">
      <c r="A70" s="2">
        <v>2</v>
      </c>
      <c r="B70" s="2">
        <v>2</v>
      </c>
      <c r="C70" s="2">
        <v>4</v>
      </c>
      <c r="D70" s="2">
        <v>2</v>
      </c>
      <c r="E70" s="2"/>
      <c r="F70" s="8" t="s">
        <v>91</v>
      </c>
      <c r="G70" s="49">
        <f>G71</f>
        <v>0</v>
      </c>
      <c r="H70" s="49">
        <f t="shared" ref="H70:W70" si="38">H71</f>
        <v>0</v>
      </c>
      <c r="I70" s="49">
        <f t="shared" si="38"/>
        <v>0</v>
      </c>
      <c r="J70" s="49">
        <f t="shared" si="38"/>
        <v>0</v>
      </c>
      <c r="K70" s="49">
        <f t="shared" si="38"/>
        <v>0</v>
      </c>
      <c r="L70" s="49">
        <f t="shared" si="38"/>
        <v>0</v>
      </c>
      <c r="M70" s="49">
        <f t="shared" si="38"/>
        <v>71600</v>
      </c>
      <c r="N70" s="49">
        <f t="shared" si="38"/>
        <v>137400</v>
      </c>
      <c r="O70" s="49">
        <f t="shared" si="38"/>
        <v>179000</v>
      </c>
      <c r="P70" s="49">
        <f t="shared" si="38"/>
        <v>0</v>
      </c>
      <c r="Q70" s="49">
        <f t="shared" si="38"/>
        <v>0</v>
      </c>
      <c r="R70" s="49">
        <f t="shared" si="38"/>
        <v>71600</v>
      </c>
      <c r="S70" s="49">
        <f t="shared" si="38"/>
        <v>0</v>
      </c>
      <c r="T70" s="49">
        <f t="shared" si="38"/>
        <v>179000</v>
      </c>
      <c r="U70" s="49">
        <f t="shared" si="38"/>
        <v>0</v>
      </c>
      <c r="V70" s="49">
        <f t="shared" si="38"/>
        <v>0</v>
      </c>
      <c r="W70" s="49">
        <f t="shared" si="38"/>
        <v>638600</v>
      </c>
    </row>
    <row r="71" spans="1:24" x14ac:dyDescent="0.25">
      <c r="A71" s="13">
        <v>2</v>
      </c>
      <c r="B71" s="13">
        <v>2</v>
      </c>
      <c r="C71" s="13">
        <v>4</v>
      </c>
      <c r="D71" s="13">
        <v>2</v>
      </c>
      <c r="E71" s="18" t="s">
        <v>29</v>
      </c>
      <c r="F71" s="9" t="s">
        <v>91</v>
      </c>
      <c r="G71" s="14"/>
      <c r="H71" s="14"/>
      <c r="I71" s="14"/>
      <c r="J71" s="14"/>
      <c r="K71" s="14"/>
      <c r="L71" s="14"/>
      <c r="M71" s="14">
        <f>35800*2</f>
        <v>71600</v>
      </c>
      <c r="N71" s="14">
        <f>45800*3</f>
        <v>137400</v>
      </c>
      <c r="O71" s="14">
        <f>35800*5</f>
        <v>179000</v>
      </c>
      <c r="P71" s="14"/>
      <c r="Q71" s="14"/>
      <c r="R71" s="14">
        <f>35800*2</f>
        <v>71600</v>
      </c>
      <c r="S71" s="14"/>
      <c r="T71" s="14">
        <f>35800*5</f>
        <v>179000</v>
      </c>
      <c r="U71" s="14"/>
      <c r="V71" s="14"/>
      <c r="W71" s="14">
        <f>SUM(G71:V71)</f>
        <v>638600</v>
      </c>
    </row>
    <row r="72" spans="1:24" x14ac:dyDescent="0.25">
      <c r="A72" s="2">
        <v>2</v>
      </c>
      <c r="B72" s="2">
        <v>2</v>
      </c>
      <c r="C72" s="2">
        <v>4</v>
      </c>
      <c r="D72" s="2">
        <v>4</v>
      </c>
      <c r="E72" s="2"/>
      <c r="F72" s="8" t="s">
        <v>92</v>
      </c>
      <c r="G72" s="49">
        <f>G73</f>
        <v>21600</v>
      </c>
      <c r="H72" s="49">
        <f t="shared" ref="H72:W72" si="39">H73</f>
        <v>2400</v>
      </c>
      <c r="I72" s="49">
        <f t="shared" si="39"/>
        <v>0</v>
      </c>
      <c r="J72" s="49">
        <f t="shared" si="39"/>
        <v>6000</v>
      </c>
      <c r="K72" s="49">
        <f t="shared" si="39"/>
        <v>3600</v>
      </c>
      <c r="L72" s="49">
        <f t="shared" si="39"/>
        <v>3600</v>
      </c>
      <c r="M72" s="49">
        <f t="shared" si="39"/>
        <v>2400</v>
      </c>
      <c r="N72" s="49">
        <f t="shared" si="39"/>
        <v>2400</v>
      </c>
      <c r="O72" s="49">
        <f t="shared" si="39"/>
        <v>6000</v>
      </c>
      <c r="P72" s="49">
        <f t="shared" si="39"/>
        <v>0</v>
      </c>
      <c r="Q72" s="49">
        <f t="shared" si="39"/>
        <v>0</v>
      </c>
      <c r="R72" s="49">
        <f t="shared" si="39"/>
        <v>7200</v>
      </c>
      <c r="S72" s="49">
        <f t="shared" si="39"/>
        <v>6000</v>
      </c>
      <c r="T72" s="49">
        <f t="shared" si="39"/>
        <v>9600</v>
      </c>
      <c r="U72" s="49">
        <f t="shared" si="39"/>
        <v>0</v>
      </c>
      <c r="V72" s="49">
        <f t="shared" si="39"/>
        <v>2400</v>
      </c>
      <c r="W72" s="49">
        <f t="shared" si="39"/>
        <v>73200</v>
      </c>
    </row>
    <row r="73" spans="1:24" x14ac:dyDescent="0.25">
      <c r="A73" s="13">
        <v>2</v>
      </c>
      <c r="B73" s="13">
        <v>2</v>
      </c>
      <c r="C73" s="13">
        <v>4</v>
      </c>
      <c r="D73" s="13">
        <v>4</v>
      </c>
      <c r="E73" s="18" t="s">
        <v>29</v>
      </c>
      <c r="F73" s="9" t="s">
        <v>92</v>
      </c>
      <c r="G73" s="14">
        <f>12*18*100</f>
        <v>21600</v>
      </c>
      <c r="H73" s="14">
        <f>12*100*2</f>
        <v>2400</v>
      </c>
      <c r="I73" s="14"/>
      <c r="J73" s="14">
        <f>12*5*100</f>
        <v>6000</v>
      </c>
      <c r="K73" s="14">
        <f>100*12*3</f>
        <v>3600</v>
      </c>
      <c r="L73" s="14">
        <f>12*3*100</f>
        <v>3600</v>
      </c>
      <c r="M73" s="14">
        <f>12*2*100</f>
        <v>2400</v>
      </c>
      <c r="N73" s="14">
        <f>12*2*100</f>
        <v>2400</v>
      </c>
      <c r="O73" s="14">
        <f>12*5*100</f>
        <v>6000</v>
      </c>
      <c r="P73" s="14"/>
      <c r="Q73" s="14"/>
      <c r="R73" s="14">
        <f>12*6*100</f>
        <v>7200</v>
      </c>
      <c r="S73" s="14">
        <f>12*100*5</f>
        <v>6000</v>
      </c>
      <c r="T73" s="14">
        <f>12*100*8</f>
        <v>9600</v>
      </c>
      <c r="U73" s="14"/>
      <c r="V73" s="14">
        <f>12*2*100</f>
        <v>2400</v>
      </c>
      <c r="W73" s="14">
        <f>SUM(G73:V73)</f>
        <v>73200</v>
      </c>
    </row>
    <row r="74" spans="1:24" x14ac:dyDescent="0.25">
      <c r="A74" s="3">
        <v>2</v>
      </c>
      <c r="B74" s="3">
        <v>2</v>
      </c>
      <c r="C74" s="3">
        <v>5</v>
      </c>
      <c r="D74" s="3"/>
      <c r="E74" s="3"/>
      <c r="F74" s="7" t="s">
        <v>93</v>
      </c>
      <c r="G74" s="48">
        <f>+G75+G78+G80+G82</f>
        <v>0</v>
      </c>
      <c r="H74" s="48">
        <f t="shared" ref="H74:V74" si="40">+H75+H78+H80+H82</f>
        <v>7069394.7999999998</v>
      </c>
      <c r="I74" s="48">
        <f t="shared" si="40"/>
        <v>0</v>
      </c>
      <c r="J74" s="48">
        <f t="shared" si="40"/>
        <v>0</v>
      </c>
      <c r="K74" s="48">
        <f t="shared" si="40"/>
        <v>31800</v>
      </c>
      <c r="L74" s="48">
        <f t="shared" si="40"/>
        <v>45680</v>
      </c>
      <c r="M74" s="48">
        <f t="shared" si="40"/>
        <v>0</v>
      </c>
      <c r="N74" s="48">
        <f t="shared" si="40"/>
        <v>0</v>
      </c>
      <c r="O74" s="48">
        <f t="shared" si="40"/>
        <v>568925.30000000005</v>
      </c>
      <c r="P74" s="48">
        <f t="shared" si="40"/>
        <v>0</v>
      </c>
      <c r="Q74" s="48">
        <f t="shared" si="40"/>
        <v>0</v>
      </c>
      <c r="R74" s="48">
        <f t="shared" si="40"/>
        <v>258290</v>
      </c>
      <c r="S74" s="48">
        <f t="shared" si="40"/>
        <v>0</v>
      </c>
      <c r="T74" s="48">
        <f t="shared" si="40"/>
        <v>62890</v>
      </c>
      <c r="U74" s="48">
        <f t="shared" si="40"/>
        <v>0</v>
      </c>
      <c r="V74" s="48">
        <f t="shared" si="40"/>
        <v>20000</v>
      </c>
      <c r="W74" s="48">
        <f>SUM(G74:V74)</f>
        <v>8056980.0999999996</v>
      </c>
      <c r="X74" s="78"/>
    </row>
    <row r="75" spans="1:24" x14ac:dyDescent="0.25">
      <c r="A75" s="2">
        <v>2</v>
      </c>
      <c r="B75" s="2">
        <v>2</v>
      </c>
      <c r="C75" s="2">
        <v>5</v>
      </c>
      <c r="D75" s="2">
        <v>2</v>
      </c>
      <c r="E75" s="18"/>
      <c r="F75" s="8" t="s">
        <v>94</v>
      </c>
      <c r="G75" s="49">
        <f>SUM(G76:G77)</f>
        <v>0</v>
      </c>
      <c r="H75" s="49">
        <f t="shared" ref="H75:W75" si="41">SUM(H76:H77)</f>
        <v>0</v>
      </c>
      <c r="I75" s="49">
        <f t="shared" si="41"/>
        <v>0</v>
      </c>
      <c r="J75" s="49">
        <f t="shared" si="41"/>
        <v>0</v>
      </c>
      <c r="K75" s="49">
        <f t="shared" si="41"/>
        <v>1800</v>
      </c>
      <c r="L75" s="49">
        <f t="shared" si="41"/>
        <v>0</v>
      </c>
      <c r="M75" s="49">
        <f t="shared" si="41"/>
        <v>0</v>
      </c>
      <c r="N75" s="49">
        <f t="shared" si="41"/>
        <v>0</v>
      </c>
      <c r="O75" s="49">
        <f t="shared" si="41"/>
        <v>568925.30000000005</v>
      </c>
      <c r="P75" s="49">
        <f t="shared" si="41"/>
        <v>0</v>
      </c>
      <c r="Q75" s="49">
        <f t="shared" si="41"/>
        <v>0</v>
      </c>
      <c r="R75" s="49">
        <f t="shared" si="41"/>
        <v>0</v>
      </c>
      <c r="S75" s="49">
        <f t="shared" si="41"/>
        <v>0</v>
      </c>
      <c r="T75" s="49">
        <f t="shared" si="41"/>
        <v>0</v>
      </c>
      <c r="U75" s="49">
        <f t="shared" si="41"/>
        <v>0</v>
      </c>
      <c r="V75" s="49">
        <f t="shared" si="41"/>
        <v>0</v>
      </c>
      <c r="W75" s="49">
        <f t="shared" si="41"/>
        <v>570725.30000000005</v>
      </c>
    </row>
    <row r="76" spans="1:24" x14ac:dyDescent="0.25">
      <c r="A76" s="13">
        <v>2</v>
      </c>
      <c r="B76" s="13">
        <v>2</v>
      </c>
      <c r="C76" s="13">
        <v>5</v>
      </c>
      <c r="D76" s="13">
        <v>2</v>
      </c>
      <c r="E76" s="18" t="s">
        <v>29</v>
      </c>
      <c r="F76" s="50" t="s">
        <v>94</v>
      </c>
      <c r="G76" s="14"/>
      <c r="H76" s="14"/>
      <c r="I76" s="14"/>
      <c r="J76" s="14"/>
      <c r="K76" s="14"/>
      <c r="L76" s="14"/>
      <c r="M76" s="14"/>
      <c r="N76" s="14"/>
      <c r="O76" s="14">
        <v>568925.30000000005</v>
      </c>
      <c r="P76" s="14"/>
      <c r="Q76" s="14"/>
      <c r="R76" s="14"/>
      <c r="S76" s="14"/>
      <c r="T76" s="14"/>
      <c r="U76" s="14"/>
      <c r="V76" s="14"/>
      <c r="W76" s="14">
        <f>SUM(G76:V76)</f>
        <v>568925.30000000005</v>
      </c>
    </row>
    <row r="77" spans="1:24" x14ac:dyDescent="0.25">
      <c r="A77" s="13">
        <v>2</v>
      </c>
      <c r="B77" s="13">
        <v>2</v>
      </c>
      <c r="C77" s="13">
        <v>5</v>
      </c>
      <c r="D77" s="13">
        <v>2</v>
      </c>
      <c r="E77" s="18" t="s">
        <v>49</v>
      </c>
      <c r="F77" s="50" t="s">
        <v>95</v>
      </c>
      <c r="G77" s="14"/>
      <c r="H77" s="14"/>
      <c r="I77" s="14"/>
      <c r="J77" s="14"/>
      <c r="K77" s="14">
        <v>1800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>
        <f>SUM(G77:V77)</f>
        <v>1800</v>
      </c>
    </row>
    <row r="78" spans="1:24" x14ac:dyDescent="0.25">
      <c r="A78" s="51">
        <v>2</v>
      </c>
      <c r="B78" s="51">
        <v>2</v>
      </c>
      <c r="C78" s="51">
        <v>5</v>
      </c>
      <c r="D78" s="51">
        <v>3</v>
      </c>
      <c r="E78" s="51"/>
      <c r="F78" s="52" t="s">
        <v>96</v>
      </c>
      <c r="G78" s="49">
        <f>G79</f>
        <v>0</v>
      </c>
      <c r="H78" s="49">
        <f t="shared" ref="H78:W78" si="42">H79</f>
        <v>0</v>
      </c>
      <c r="I78" s="49">
        <f t="shared" si="42"/>
        <v>0</v>
      </c>
      <c r="J78" s="49">
        <f t="shared" si="42"/>
        <v>0</v>
      </c>
      <c r="K78" s="49">
        <f t="shared" si="42"/>
        <v>30000</v>
      </c>
      <c r="L78" s="49">
        <f t="shared" si="42"/>
        <v>45680</v>
      </c>
      <c r="M78" s="49">
        <f t="shared" si="42"/>
        <v>0</v>
      </c>
      <c r="N78" s="49">
        <f t="shared" si="42"/>
        <v>0</v>
      </c>
      <c r="O78" s="49">
        <f t="shared" si="42"/>
        <v>0</v>
      </c>
      <c r="P78" s="49">
        <f t="shared" si="42"/>
        <v>0</v>
      </c>
      <c r="Q78" s="49">
        <f t="shared" si="42"/>
        <v>0</v>
      </c>
      <c r="R78" s="49">
        <f t="shared" si="42"/>
        <v>0</v>
      </c>
      <c r="S78" s="49">
        <f t="shared" si="42"/>
        <v>0</v>
      </c>
      <c r="T78" s="49">
        <f t="shared" si="42"/>
        <v>62890</v>
      </c>
      <c r="U78" s="49">
        <f t="shared" si="42"/>
        <v>0</v>
      </c>
      <c r="V78" s="49">
        <f t="shared" si="42"/>
        <v>0</v>
      </c>
      <c r="W78" s="49">
        <f t="shared" si="42"/>
        <v>138570</v>
      </c>
    </row>
    <row r="79" spans="1:24" x14ac:dyDescent="0.25">
      <c r="A79" s="13">
        <v>2</v>
      </c>
      <c r="B79" s="13">
        <v>2</v>
      </c>
      <c r="C79" s="13">
        <v>5</v>
      </c>
      <c r="D79" s="13">
        <v>3</v>
      </c>
      <c r="E79" s="18" t="s">
        <v>52</v>
      </c>
      <c r="F79" s="50" t="s">
        <v>97</v>
      </c>
      <c r="G79" s="14"/>
      <c r="H79" s="14"/>
      <c r="I79" s="14"/>
      <c r="J79" s="14"/>
      <c r="K79" s="14">
        <v>30000</v>
      </c>
      <c r="L79" s="14">
        <v>45680</v>
      </c>
      <c r="M79" s="14"/>
      <c r="N79" s="14"/>
      <c r="O79" s="14"/>
      <c r="P79" s="14"/>
      <c r="Q79" s="14"/>
      <c r="R79" s="14"/>
      <c r="S79" s="14"/>
      <c r="T79" s="14">
        <v>62890</v>
      </c>
      <c r="U79" s="14"/>
      <c r="V79" s="14"/>
      <c r="W79" s="14">
        <f>SUM(G79:V79)</f>
        <v>138570</v>
      </c>
    </row>
    <row r="80" spans="1:24" x14ac:dyDescent="0.25">
      <c r="A80" s="51">
        <v>2</v>
      </c>
      <c r="B80" s="51">
        <v>2</v>
      </c>
      <c r="C80" s="51">
        <v>5</v>
      </c>
      <c r="D80" s="51">
        <v>4</v>
      </c>
      <c r="E80" s="51"/>
      <c r="F80" s="52" t="s">
        <v>98</v>
      </c>
      <c r="G80" s="49">
        <f>G81</f>
        <v>0</v>
      </c>
      <c r="H80" s="49">
        <f t="shared" ref="H80:V80" si="43">H81</f>
        <v>0</v>
      </c>
      <c r="I80" s="49">
        <f t="shared" si="43"/>
        <v>0</v>
      </c>
      <c r="J80" s="49">
        <f t="shared" si="43"/>
        <v>0</v>
      </c>
      <c r="K80" s="49">
        <f t="shared" si="43"/>
        <v>0</v>
      </c>
      <c r="L80" s="49">
        <f t="shared" si="43"/>
        <v>0</v>
      </c>
      <c r="M80" s="49">
        <f t="shared" si="43"/>
        <v>0</v>
      </c>
      <c r="N80" s="49">
        <f t="shared" si="43"/>
        <v>0</v>
      </c>
      <c r="O80" s="49">
        <f t="shared" si="43"/>
        <v>0</v>
      </c>
      <c r="P80" s="49">
        <f t="shared" si="43"/>
        <v>0</v>
      </c>
      <c r="Q80" s="49">
        <f t="shared" si="43"/>
        <v>0</v>
      </c>
      <c r="R80" s="49">
        <f t="shared" si="43"/>
        <v>0</v>
      </c>
      <c r="S80" s="49">
        <f t="shared" si="43"/>
        <v>0</v>
      </c>
      <c r="T80" s="49">
        <f t="shared" si="43"/>
        <v>0</v>
      </c>
      <c r="U80" s="49">
        <f t="shared" si="43"/>
        <v>0</v>
      </c>
      <c r="V80" s="49">
        <f t="shared" si="43"/>
        <v>20000</v>
      </c>
      <c r="W80" s="49">
        <f>W81</f>
        <v>20000</v>
      </c>
    </row>
    <row r="81" spans="1:24" x14ac:dyDescent="0.25">
      <c r="A81" s="13">
        <v>2</v>
      </c>
      <c r="B81" s="13">
        <v>2</v>
      </c>
      <c r="C81" s="13">
        <v>5</v>
      </c>
      <c r="D81" s="13">
        <v>4</v>
      </c>
      <c r="E81" s="18" t="s">
        <v>29</v>
      </c>
      <c r="F81" s="50" t="s">
        <v>98</v>
      </c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>
        <f>4000*5</f>
        <v>20000</v>
      </c>
      <c r="W81" s="14">
        <f>SUM(G81:V81)</f>
        <v>20000</v>
      </c>
    </row>
    <row r="82" spans="1:24" x14ac:dyDescent="0.25">
      <c r="A82" s="51">
        <v>2</v>
      </c>
      <c r="B82" s="51">
        <v>2</v>
      </c>
      <c r="C82" s="51">
        <v>5</v>
      </c>
      <c r="D82" s="51">
        <v>9</v>
      </c>
      <c r="E82" s="51"/>
      <c r="F82" s="52" t="s">
        <v>99</v>
      </c>
      <c r="G82" s="49">
        <f>G83</f>
        <v>0</v>
      </c>
      <c r="H82" s="49">
        <f t="shared" ref="H82:V82" si="44">H83</f>
        <v>7069394.7999999998</v>
      </c>
      <c r="I82" s="49">
        <f t="shared" si="44"/>
        <v>0</v>
      </c>
      <c r="J82" s="49">
        <f t="shared" si="44"/>
        <v>0</v>
      </c>
      <c r="K82" s="49">
        <f t="shared" si="44"/>
        <v>0</v>
      </c>
      <c r="L82" s="49">
        <f t="shared" si="44"/>
        <v>0</v>
      </c>
      <c r="M82" s="49">
        <f t="shared" si="44"/>
        <v>0</v>
      </c>
      <c r="N82" s="49">
        <f t="shared" si="44"/>
        <v>0</v>
      </c>
      <c r="O82" s="49">
        <f t="shared" si="44"/>
        <v>0</v>
      </c>
      <c r="P82" s="49">
        <f t="shared" si="44"/>
        <v>0</v>
      </c>
      <c r="Q82" s="49">
        <f t="shared" si="44"/>
        <v>0</v>
      </c>
      <c r="R82" s="49">
        <f t="shared" si="44"/>
        <v>258290</v>
      </c>
      <c r="S82" s="49">
        <f t="shared" si="44"/>
        <v>0</v>
      </c>
      <c r="T82" s="49">
        <f t="shared" si="44"/>
        <v>0</v>
      </c>
      <c r="U82" s="49">
        <f t="shared" si="44"/>
        <v>0</v>
      </c>
      <c r="V82" s="49">
        <f t="shared" si="44"/>
        <v>0</v>
      </c>
      <c r="W82" s="49">
        <f>W83</f>
        <v>7327684.7999999998</v>
      </c>
    </row>
    <row r="83" spans="1:24" x14ac:dyDescent="0.25">
      <c r="A83" s="13">
        <v>2</v>
      </c>
      <c r="B83" s="13">
        <v>2</v>
      </c>
      <c r="C83" s="13">
        <v>5</v>
      </c>
      <c r="D83" s="13">
        <v>9</v>
      </c>
      <c r="E83" s="18" t="s">
        <v>29</v>
      </c>
      <c r="F83" s="50" t="s">
        <v>100</v>
      </c>
      <c r="G83" s="14"/>
      <c r="H83" s="14">
        <v>7069394.7999999998</v>
      </c>
      <c r="I83" s="14"/>
      <c r="J83" s="14"/>
      <c r="K83" s="14"/>
      <c r="L83" s="14"/>
      <c r="M83" s="14"/>
      <c r="N83" s="14"/>
      <c r="O83" s="14"/>
      <c r="P83" s="14"/>
      <c r="Q83" s="14"/>
      <c r="R83" s="14">
        <v>258290</v>
      </c>
      <c r="S83" s="14"/>
      <c r="T83" s="14"/>
      <c r="U83" s="14"/>
      <c r="V83" s="14"/>
      <c r="W83" s="14">
        <f>SUM(G83:V83)</f>
        <v>7327684.7999999998</v>
      </c>
    </row>
    <row r="84" spans="1:24" ht="28.5" x14ac:dyDescent="0.25">
      <c r="A84" s="53">
        <v>2</v>
      </c>
      <c r="B84" s="53">
        <v>2</v>
      </c>
      <c r="C84" s="53">
        <v>7</v>
      </c>
      <c r="D84" s="53"/>
      <c r="E84" s="53"/>
      <c r="F84" s="54" t="s">
        <v>101</v>
      </c>
      <c r="G84" s="48">
        <f t="shared" ref="G84:W84" si="45">+G85+G90</f>
        <v>1126463</v>
      </c>
      <c r="H84" s="48">
        <f t="shared" si="45"/>
        <v>3307870.55</v>
      </c>
      <c r="I84" s="48">
        <f t="shared" si="45"/>
        <v>32650</v>
      </c>
      <c r="J84" s="48">
        <f t="shared" si="45"/>
        <v>7693458.0300000003</v>
      </c>
      <c r="K84" s="48">
        <f t="shared" si="45"/>
        <v>4364556.5</v>
      </c>
      <c r="L84" s="48">
        <f t="shared" si="45"/>
        <v>2330838</v>
      </c>
      <c r="M84" s="48">
        <f t="shared" si="45"/>
        <v>322763</v>
      </c>
      <c r="N84" s="48">
        <f t="shared" si="45"/>
        <v>3874946</v>
      </c>
      <c r="O84" s="48">
        <f t="shared" si="45"/>
        <v>10155226</v>
      </c>
      <c r="P84" s="48">
        <f t="shared" si="45"/>
        <v>0</v>
      </c>
      <c r="Q84" s="48">
        <f t="shared" si="45"/>
        <v>36541</v>
      </c>
      <c r="R84" s="48">
        <f t="shared" si="45"/>
        <v>4650543.3499999996</v>
      </c>
      <c r="S84" s="48">
        <f t="shared" si="45"/>
        <v>94193</v>
      </c>
      <c r="T84" s="48">
        <f t="shared" si="45"/>
        <v>491383</v>
      </c>
      <c r="U84" s="48">
        <f t="shared" si="45"/>
        <v>26520</v>
      </c>
      <c r="V84" s="48">
        <f t="shared" si="45"/>
        <v>6423403</v>
      </c>
      <c r="W84" s="48">
        <f t="shared" si="45"/>
        <v>44931354.43</v>
      </c>
      <c r="X84" s="78"/>
    </row>
    <row r="85" spans="1:24" ht="28.5" x14ac:dyDescent="0.25">
      <c r="A85" s="51">
        <v>2</v>
      </c>
      <c r="B85" s="51">
        <v>2</v>
      </c>
      <c r="C85" s="51">
        <v>7</v>
      </c>
      <c r="D85" s="51">
        <v>1</v>
      </c>
      <c r="E85" s="51"/>
      <c r="F85" s="55" t="s">
        <v>102</v>
      </c>
      <c r="G85" s="49">
        <f>SUM(G86:G89)</f>
        <v>1094803</v>
      </c>
      <c r="H85" s="49">
        <f t="shared" ref="H85:W85" si="46">SUM(H86:H89)</f>
        <v>62587.3</v>
      </c>
      <c r="I85" s="49">
        <f t="shared" si="46"/>
        <v>0</v>
      </c>
      <c r="J85" s="49">
        <f t="shared" si="46"/>
        <v>3645289.68</v>
      </c>
      <c r="K85" s="49">
        <f t="shared" si="46"/>
        <v>4244396.5</v>
      </c>
      <c r="L85" s="49">
        <f t="shared" si="46"/>
        <v>2248618</v>
      </c>
      <c r="M85" s="49">
        <f t="shared" si="46"/>
        <v>285643</v>
      </c>
      <c r="N85" s="49">
        <f t="shared" si="46"/>
        <v>1258790</v>
      </c>
      <c r="O85" s="49">
        <f t="shared" si="46"/>
        <v>6414665</v>
      </c>
      <c r="P85" s="49">
        <f t="shared" si="46"/>
        <v>0</v>
      </c>
      <c r="Q85" s="49">
        <f t="shared" si="46"/>
        <v>0</v>
      </c>
      <c r="R85" s="49">
        <f t="shared" si="46"/>
        <v>4505106.3499999996</v>
      </c>
      <c r="S85" s="49">
        <f t="shared" si="46"/>
        <v>58945</v>
      </c>
      <c r="T85" s="49">
        <f t="shared" si="46"/>
        <v>456890</v>
      </c>
      <c r="U85" s="49">
        <f t="shared" si="46"/>
        <v>0</v>
      </c>
      <c r="V85" s="49">
        <f t="shared" si="46"/>
        <v>6382056</v>
      </c>
      <c r="W85" s="49">
        <f t="shared" si="46"/>
        <v>30657789.829999998</v>
      </c>
    </row>
    <row r="86" spans="1:24" x14ac:dyDescent="0.25">
      <c r="A86" s="11">
        <v>2</v>
      </c>
      <c r="B86" s="11">
        <v>2</v>
      </c>
      <c r="C86" s="11">
        <v>7</v>
      </c>
      <c r="D86" s="11">
        <v>1</v>
      </c>
      <c r="E86" s="20" t="s">
        <v>29</v>
      </c>
      <c r="F86" s="9" t="s">
        <v>103</v>
      </c>
      <c r="G86" s="14">
        <v>235850</v>
      </c>
      <c r="H86" s="14"/>
      <c r="I86" s="14"/>
      <c r="J86" s="14">
        <v>2986325.68</v>
      </c>
      <c r="K86" s="14">
        <v>2589764.5</v>
      </c>
      <c r="L86" s="14">
        <v>1458964</v>
      </c>
      <c r="M86" s="14"/>
      <c r="N86" s="14"/>
      <c r="O86" s="14">
        <v>4568975</v>
      </c>
      <c r="P86" s="14"/>
      <c r="Q86" s="14"/>
      <c r="R86" s="14">
        <v>3645981</v>
      </c>
      <c r="S86" s="14"/>
      <c r="T86" s="14"/>
      <c r="U86" s="14"/>
      <c r="V86" s="14">
        <v>324560</v>
      </c>
      <c r="W86" s="14">
        <f>SUM(G86:V86)</f>
        <v>15810420.18</v>
      </c>
    </row>
    <row r="87" spans="1:24" ht="30" x14ac:dyDescent="0.25">
      <c r="A87" s="11">
        <v>2</v>
      </c>
      <c r="B87" s="11">
        <v>2</v>
      </c>
      <c r="C87" s="11">
        <v>7</v>
      </c>
      <c r="D87" s="11">
        <v>1</v>
      </c>
      <c r="E87" s="20" t="s">
        <v>31</v>
      </c>
      <c r="F87" s="56" t="s">
        <v>104</v>
      </c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>
        <v>2756253</v>
      </c>
      <c r="W87" s="14">
        <f>SUM(G87:V87)</f>
        <v>2756253</v>
      </c>
    </row>
    <row r="88" spans="1:24" x14ac:dyDescent="0.25">
      <c r="A88" s="11">
        <v>2</v>
      </c>
      <c r="B88" s="11">
        <v>2</v>
      </c>
      <c r="C88" s="11">
        <v>7</v>
      </c>
      <c r="D88" s="11">
        <v>1</v>
      </c>
      <c r="E88" s="20" t="s">
        <v>40</v>
      </c>
      <c r="F88" s="9" t="s">
        <v>105</v>
      </c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>
        <v>3175820</v>
      </c>
      <c r="W88" s="14">
        <f>SUM(G88:V88)</f>
        <v>3175820</v>
      </c>
    </row>
    <row r="89" spans="1:24" ht="30" x14ac:dyDescent="0.25">
      <c r="A89" s="11">
        <v>2</v>
      </c>
      <c r="B89" s="11">
        <v>2</v>
      </c>
      <c r="C89" s="11">
        <v>7</v>
      </c>
      <c r="D89" s="11">
        <v>1</v>
      </c>
      <c r="E89" s="20" t="s">
        <v>40</v>
      </c>
      <c r="F89" s="56" t="s">
        <v>106</v>
      </c>
      <c r="G89" s="14">
        <v>858953</v>
      </c>
      <c r="H89" s="14">
        <v>62587.3</v>
      </c>
      <c r="I89" s="14"/>
      <c r="J89" s="14">
        <v>658964</v>
      </c>
      <c r="K89" s="14">
        <v>1654632</v>
      </c>
      <c r="L89" s="14">
        <v>789654</v>
      </c>
      <c r="M89" s="14">
        <v>285643</v>
      </c>
      <c r="N89" s="14">
        <v>1258790</v>
      </c>
      <c r="O89" s="14">
        <v>1845690</v>
      </c>
      <c r="P89" s="14"/>
      <c r="Q89" s="14"/>
      <c r="R89" s="14">
        <v>859125.35</v>
      </c>
      <c r="S89" s="14">
        <v>58945</v>
      </c>
      <c r="T89" s="14">
        <v>456890</v>
      </c>
      <c r="U89" s="14"/>
      <c r="V89" s="14">
        <v>125423</v>
      </c>
      <c r="W89" s="14">
        <f>SUM(G89:V89)</f>
        <v>8915296.6499999985</v>
      </c>
    </row>
    <row r="90" spans="1:24" x14ac:dyDescent="0.25">
      <c r="A90" s="51">
        <v>2</v>
      </c>
      <c r="B90" s="51">
        <v>2</v>
      </c>
      <c r="C90" s="51">
        <v>7</v>
      </c>
      <c r="D90" s="51">
        <v>2</v>
      </c>
      <c r="E90" s="51"/>
      <c r="F90" s="55" t="s">
        <v>107</v>
      </c>
      <c r="G90" s="49">
        <f t="shared" ref="G90:W90" si="47">SUM(G91:G95)</f>
        <v>31660</v>
      </c>
      <c r="H90" s="49">
        <f t="shared" si="47"/>
        <v>3245283.25</v>
      </c>
      <c r="I90" s="49">
        <f t="shared" si="47"/>
        <v>32650</v>
      </c>
      <c r="J90" s="49">
        <f t="shared" si="47"/>
        <v>4048168.35</v>
      </c>
      <c r="K90" s="49">
        <f t="shared" si="47"/>
        <v>120160</v>
      </c>
      <c r="L90" s="49">
        <f t="shared" si="47"/>
        <v>82220</v>
      </c>
      <c r="M90" s="49">
        <f t="shared" si="47"/>
        <v>37120</v>
      </c>
      <c r="N90" s="49">
        <f t="shared" si="47"/>
        <v>2616156</v>
      </c>
      <c r="O90" s="49">
        <f t="shared" si="47"/>
        <v>3740561</v>
      </c>
      <c r="P90" s="49">
        <f t="shared" si="47"/>
        <v>0</v>
      </c>
      <c r="Q90" s="49">
        <f t="shared" si="47"/>
        <v>36541</v>
      </c>
      <c r="R90" s="49">
        <f t="shared" si="47"/>
        <v>145437</v>
      </c>
      <c r="S90" s="49">
        <f t="shared" si="47"/>
        <v>35248</v>
      </c>
      <c r="T90" s="49">
        <f t="shared" si="47"/>
        <v>34493</v>
      </c>
      <c r="U90" s="49">
        <f t="shared" si="47"/>
        <v>26520</v>
      </c>
      <c r="V90" s="49">
        <f t="shared" si="47"/>
        <v>41347</v>
      </c>
      <c r="W90" s="49">
        <f t="shared" si="47"/>
        <v>14273564.6</v>
      </c>
    </row>
    <row r="91" spans="1:24" ht="31.5" customHeight="1" x14ac:dyDescent="0.25">
      <c r="A91" s="11">
        <v>2</v>
      </c>
      <c r="B91" s="11">
        <v>2</v>
      </c>
      <c r="C91" s="11">
        <v>7</v>
      </c>
      <c r="D91" s="11">
        <v>2</v>
      </c>
      <c r="E91" s="20" t="s">
        <v>29</v>
      </c>
      <c r="F91" s="56" t="s">
        <v>108</v>
      </c>
      <c r="G91" s="14">
        <v>5360</v>
      </c>
      <c r="H91" s="14">
        <v>8532</v>
      </c>
      <c r="I91" s="14"/>
      <c r="J91" s="14">
        <v>45680</v>
      </c>
      <c r="K91" s="14">
        <v>35600</v>
      </c>
      <c r="L91" s="14">
        <v>8536</v>
      </c>
      <c r="M91" s="14">
        <v>12560</v>
      </c>
      <c r="N91" s="14">
        <v>23650</v>
      </c>
      <c r="O91" s="14">
        <v>18540</v>
      </c>
      <c r="P91" s="14"/>
      <c r="Q91" s="14"/>
      <c r="R91" s="14">
        <v>12850</v>
      </c>
      <c r="S91" s="14">
        <v>12650</v>
      </c>
      <c r="T91" s="14">
        <v>8650</v>
      </c>
      <c r="U91" s="14"/>
      <c r="V91" s="14">
        <v>8652</v>
      </c>
      <c r="W91" s="14">
        <f t="shared" ref="W91:W96" si="48">SUM(G91:V91)</f>
        <v>201260</v>
      </c>
    </row>
    <row r="92" spans="1:24" ht="30.75" customHeight="1" x14ac:dyDescent="0.25">
      <c r="A92" s="11">
        <v>2</v>
      </c>
      <c r="B92" s="11">
        <v>2</v>
      </c>
      <c r="C92" s="11">
        <v>7</v>
      </c>
      <c r="D92" s="11">
        <v>2</v>
      </c>
      <c r="E92" s="20" t="s">
        <v>49</v>
      </c>
      <c r="F92" s="56" t="s">
        <v>109</v>
      </c>
      <c r="G92" s="14">
        <v>26300</v>
      </c>
      <c r="H92" s="14">
        <f>308940+1568869</f>
        <v>1877809</v>
      </c>
      <c r="I92" s="14">
        <v>32650</v>
      </c>
      <c r="J92" s="14">
        <v>164567</v>
      </c>
      <c r="K92" s="14">
        <v>84560</v>
      </c>
      <c r="L92" s="14">
        <v>73684</v>
      </c>
      <c r="M92" s="14">
        <v>24560</v>
      </c>
      <c r="N92" s="14">
        <v>45612</v>
      </c>
      <c r="O92" s="14">
        <v>123259</v>
      </c>
      <c r="P92" s="14"/>
      <c r="Q92" s="14">
        <v>36541</v>
      </c>
      <c r="R92" s="14">
        <v>132587</v>
      </c>
      <c r="S92" s="14">
        <v>22598</v>
      </c>
      <c r="T92" s="14">
        <v>25843</v>
      </c>
      <c r="U92" s="14">
        <v>26520</v>
      </c>
      <c r="V92" s="14">
        <v>32695</v>
      </c>
      <c r="W92" s="14">
        <f t="shared" si="48"/>
        <v>2729785</v>
      </c>
      <c r="X92" s="78"/>
    </row>
    <row r="93" spans="1:24" ht="30" x14ac:dyDescent="0.25">
      <c r="A93" s="11">
        <v>2</v>
      </c>
      <c r="B93" s="11">
        <v>2</v>
      </c>
      <c r="C93" s="11">
        <v>7</v>
      </c>
      <c r="D93" s="11">
        <v>2</v>
      </c>
      <c r="E93" s="20" t="s">
        <v>31</v>
      </c>
      <c r="F93" s="56" t="s">
        <v>110</v>
      </c>
      <c r="G93" s="14"/>
      <c r="H93" s="14"/>
      <c r="I93" s="14"/>
      <c r="J93" s="14">
        <v>1258976</v>
      </c>
      <c r="K93" s="14"/>
      <c r="L93" s="14"/>
      <c r="M93" s="14"/>
      <c r="N93" s="14">
        <v>2546894</v>
      </c>
      <c r="O93" s="14">
        <v>3598762</v>
      </c>
      <c r="P93" s="14"/>
      <c r="Q93" s="14"/>
      <c r="R93" s="14"/>
      <c r="S93" s="14"/>
      <c r="T93" s="14"/>
      <c r="U93" s="14"/>
      <c r="V93" s="14"/>
      <c r="W93" s="14">
        <f t="shared" si="48"/>
        <v>7404632</v>
      </c>
    </row>
    <row r="94" spans="1:24" ht="23.25" customHeight="1" x14ac:dyDescent="0.25">
      <c r="A94" s="11">
        <v>2</v>
      </c>
      <c r="B94" s="11">
        <v>2</v>
      </c>
      <c r="C94" s="11">
        <v>7</v>
      </c>
      <c r="D94" s="11">
        <v>2</v>
      </c>
      <c r="E94" s="20" t="s">
        <v>33</v>
      </c>
      <c r="F94" s="56" t="s">
        <v>111</v>
      </c>
      <c r="G94" s="14"/>
      <c r="H94" s="14">
        <v>1358942.25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>
        <f t="shared" si="48"/>
        <v>1358942.25</v>
      </c>
    </row>
    <row r="95" spans="1:24" ht="30" x14ac:dyDescent="0.25">
      <c r="A95" s="11">
        <v>2</v>
      </c>
      <c r="B95" s="11">
        <v>2</v>
      </c>
      <c r="C95" s="11">
        <v>7</v>
      </c>
      <c r="D95" s="11">
        <v>2</v>
      </c>
      <c r="E95" s="20" t="s">
        <v>40</v>
      </c>
      <c r="F95" s="56" t="s">
        <v>112</v>
      </c>
      <c r="G95" s="14"/>
      <c r="H95" s="14"/>
      <c r="I95" s="14"/>
      <c r="J95" s="14">
        <v>2578945.35</v>
      </c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>
        <f t="shared" si="48"/>
        <v>2578945.35</v>
      </c>
    </row>
    <row r="96" spans="1:24" x14ac:dyDescent="0.25">
      <c r="A96" s="3">
        <v>2</v>
      </c>
      <c r="B96" s="3">
        <v>2</v>
      </c>
      <c r="C96" s="3">
        <v>8</v>
      </c>
      <c r="D96" s="3"/>
      <c r="E96" s="3"/>
      <c r="F96" s="54" t="s">
        <v>113</v>
      </c>
      <c r="G96" s="4">
        <f>G97+G99+G101+G105+G110</f>
        <v>4230400.8499999996</v>
      </c>
      <c r="H96" s="4">
        <f t="shared" ref="H96:V96" si="49">H97+H99+H101+H105+H110</f>
        <v>2421284.21</v>
      </c>
      <c r="I96" s="4">
        <f t="shared" si="49"/>
        <v>0</v>
      </c>
      <c r="J96" s="4">
        <f t="shared" si="49"/>
        <v>9085116.6899999995</v>
      </c>
      <c r="K96" s="4">
        <f t="shared" si="49"/>
        <v>5288142.8900000006</v>
      </c>
      <c r="L96" s="4">
        <f t="shared" si="49"/>
        <v>55625</v>
      </c>
      <c r="M96" s="4">
        <f t="shared" si="49"/>
        <v>0</v>
      </c>
      <c r="N96" s="4">
        <f t="shared" si="49"/>
        <v>255600</v>
      </c>
      <c r="O96" s="4">
        <f t="shared" si="49"/>
        <v>354892</v>
      </c>
      <c r="P96" s="4">
        <f t="shared" si="49"/>
        <v>0</v>
      </c>
      <c r="Q96" s="4">
        <f t="shared" si="49"/>
        <v>0</v>
      </c>
      <c r="R96" s="4">
        <f t="shared" si="49"/>
        <v>700000</v>
      </c>
      <c r="S96" s="4">
        <f t="shared" si="49"/>
        <v>0</v>
      </c>
      <c r="T96" s="4">
        <f t="shared" si="49"/>
        <v>2746535.65</v>
      </c>
      <c r="U96" s="4">
        <f t="shared" si="49"/>
        <v>0</v>
      </c>
      <c r="V96" s="4">
        <f t="shared" si="49"/>
        <v>828838.07000000007</v>
      </c>
      <c r="W96" s="4">
        <f t="shared" si="48"/>
        <v>25966435.359999999</v>
      </c>
      <c r="X96" s="78"/>
    </row>
    <row r="97" spans="1:23" x14ac:dyDescent="0.25">
      <c r="A97" s="2">
        <v>2</v>
      </c>
      <c r="B97" s="2">
        <v>2</v>
      </c>
      <c r="C97" s="2">
        <v>8</v>
      </c>
      <c r="D97" s="2">
        <v>1</v>
      </c>
      <c r="E97" s="2"/>
      <c r="F97" s="8" t="s">
        <v>114</v>
      </c>
      <c r="G97" s="49">
        <f>G98</f>
        <v>1350825.6</v>
      </c>
      <c r="H97" s="49">
        <f t="shared" ref="H97:V97" si="50">H98</f>
        <v>0</v>
      </c>
      <c r="I97" s="49">
        <f t="shared" si="50"/>
        <v>0</v>
      </c>
      <c r="J97" s="49">
        <f t="shared" si="50"/>
        <v>0</v>
      </c>
      <c r="K97" s="49">
        <f t="shared" si="50"/>
        <v>0</v>
      </c>
      <c r="L97" s="49">
        <f t="shared" si="50"/>
        <v>0</v>
      </c>
      <c r="M97" s="49">
        <f t="shared" si="50"/>
        <v>0</v>
      </c>
      <c r="N97" s="49">
        <f t="shared" si="50"/>
        <v>0</v>
      </c>
      <c r="O97" s="49">
        <f t="shared" si="50"/>
        <v>0</v>
      </c>
      <c r="P97" s="49">
        <f t="shared" si="50"/>
        <v>0</v>
      </c>
      <c r="Q97" s="49">
        <f t="shared" si="50"/>
        <v>0</v>
      </c>
      <c r="R97" s="49">
        <f t="shared" si="50"/>
        <v>0</v>
      </c>
      <c r="S97" s="49">
        <f t="shared" si="50"/>
        <v>0</v>
      </c>
      <c r="T97" s="49">
        <f t="shared" si="50"/>
        <v>0</v>
      </c>
      <c r="U97" s="49">
        <f t="shared" si="50"/>
        <v>0</v>
      </c>
      <c r="V97" s="49">
        <f t="shared" si="50"/>
        <v>0</v>
      </c>
      <c r="W97" s="49">
        <f>W98</f>
        <v>1350825.6</v>
      </c>
    </row>
    <row r="98" spans="1:23" x14ac:dyDescent="0.25">
      <c r="A98" s="13">
        <v>2</v>
      </c>
      <c r="B98" s="13">
        <v>2</v>
      </c>
      <c r="C98" s="13">
        <v>8</v>
      </c>
      <c r="D98" s="13">
        <v>1</v>
      </c>
      <c r="E98" s="18" t="s">
        <v>29</v>
      </c>
      <c r="F98" s="9" t="s">
        <v>115</v>
      </c>
      <c r="G98" s="14">
        <v>1350825.6</v>
      </c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>
        <f>SUM(G98:V98)</f>
        <v>1350825.6</v>
      </c>
    </row>
    <row r="99" spans="1:23" x14ac:dyDescent="0.25">
      <c r="A99" s="2">
        <v>2</v>
      </c>
      <c r="B99" s="2">
        <v>2</v>
      </c>
      <c r="C99" s="2">
        <v>8</v>
      </c>
      <c r="D99" s="2">
        <v>2</v>
      </c>
      <c r="E99" s="2"/>
      <c r="F99" s="8" t="s">
        <v>116</v>
      </c>
      <c r="G99" s="49">
        <f t="shared" ref="G99:W99" si="51">SUM(G100:G100)</f>
        <v>0</v>
      </c>
      <c r="H99" s="49">
        <f t="shared" si="51"/>
        <v>0</v>
      </c>
      <c r="I99" s="49">
        <f t="shared" si="51"/>
        <v>0</v>
      </c>
      <c r="J99" s="49">
        <f t="shared" si="51"/>
        <v>389205.25</v>
      </c>
      <c r="K99" s="49">
        <f t="shared" si="51"/>
        <v>0</v>
      </c>
      <c r="L99" s="49">
        <f t="shared" si="51"/>
        <v>0</v>
      </c>
      <c r="M99" s="49">
        <f t="shared" si="51"/>
        <v>0</v>
      </c>
      <c r="N99" s="49">
        <f t="shared" si="51"/>
        <v>0</v>
      </c>
      <c r="O99" s="49">
        <f t="shared" si="51"/>
        <v>0</v>
      </c>
      <c r="P99" s="49">
        <f t="shared" si="51"/>
        <v>0</v>
      </c>
      <c r="Q99" s="49">
        <f t="shared" si="51"/>
        <v>0</v>
      </c>
      <c r="R99" s="49">
        <f t="shared" si="51"/>
        <v>0</v>
      </c>
      <c r="S99" s="49">
        <f t="shared" si="51"/>
        <v>0</v>
      </c>
      <c r="T99" s="49">
        <f t="shared" si="51"/>
        <v>0</v>
      </c>
      <c r="U99" s="49">
        <f t="shared" si="51"/>
        <v>0</v>
      </c>
      <c r="V99" s="49">
        <f t="shared" si="51"/>
        <v>0</v>
      </c>
      <c r="W99" s="49">
        <f t="shared" si="51"/>
        <v>389205.25</v>
      </c>
    </row>
    <row r="100" spans="1:23" x14ac:dyDescent="0.25">
      <c r="A100" s="13">
        <v>2</v>
      </c>
      <c r="B100" s="13">
        <v>2</v>
      </c>
      <c r="C100" s="13">
        <v>8</v>
      </c>
      <c r="D100" s="13">
        <v>2</v>
      </c>
      <c r="E100" s="18" t="s">
        <v>49</v>
      </c>
      <c r="F100" s="9" t="s">
        <v>117</v>
      </c>
      <c r="G100" s="14"/>
      <c r="H100" s="14"/>
      <c r="I100" s="14"/>
      <c r="J100" s="14">
        <v>389205.25</v>
      </c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>
        <f>SUM(G100:V100)</f>
        <v>389205.25</v>
      </c>
    </row>
    <row r="101" spans="1:23" x14ac:dyDescent="0.25">
      <c r="A101" s="2">
        <v>2</v>
      </c>
      <c r="B101" s="2">
        <v>2</v>
      </c>
      <c r="C101" s="2">
        <v>8</v>
      </c>
      <c r="D101" s="2">
        <v>5</v>
      </c>
      <c r="E101" s="2"/>
      <c r="F101" s="8" t="s">
        <v>118</v>
      </c>
      <c r="G101" s="49">
        <f>SUM(G102:G104)</f>
        <v>258925.25</v>
      </c>
      <c r="H101" s="49">
        <f t="shared" ref="H101:W101" si="52">SUM(H102:H104)</f>
        <v>0</v>
      </c>
      <c r="I101" s="49">
        <f t="shared" si="52"/>
        <v>0</v>
      </c>
      <c r="J101" s="49">
        <f t="shared" si="52"/>
        <v>5982740.7999999998</v>
      </c>
      <c r="K101" s="49">
        <f t="shared" si="52"/>
        <v>0</v>
      </c>
      <c r="L101" s="49">
        <f t="shared" si="52"/>
        <v>0</v>
      </c>
      <c r="M101" s="49">
        <f t="shared" si="52"/>
        <v>0</v>
      </c>
      <c r="N101" s="49">
        <f t="shared" si="52"/>
        <v>0</v>
      </c>
      <c r="O101" s="49">
        <f t="shared" si="52"/>
        <v>0</v>
      </c>
      <c r="P101" s="49">
        <f t="shared" si="52"/>
        <v>0</v>
      </c>
      <c r="Q101" s="49">
        <f t="shared" si="52"/>
        <v>0</v>
      </c>
      <c r="R101" s="49">
        <f t="shared" si="52"/>
        <v>0</v>
      </c>
      <c r="S101" s="49">
        <f t="shared" si="52"/>
        <v>0</v>
      </c>
      <c r="T101" s="49">
        <f t="shared" si="52"/>
        <v>0</v>
      </c>
      <c r="U101" s="49">
        <f t="shared" si="52"/>
        <v>0</v>
      </c>
      <c r="V101" s="49">
        <f t="shared" si="52"/>
        <v>458925</v>
      </c>
      <c r="W101" s="49">
        <f t="shared" si="52"/>
        <v>6700591.0499999998</v>
      </c>
    </row>
    <row r="102" spans="1:23" x14ac:dyDescent="0.25">
      <c r="A102" s="13">
        <v>2</v>
      </c>
      <c r="B102" s="13">
        <v>2</v>
      </c>
      <c r="C102" s="13">
        <v>8</v>
      </c>
      <c r="D102" s="13">
        <v>5</v>
      </c>
      <c r="E102" s="18" t="s">
        <v>29</v>
      </c>
      <c r="F102" s="9" t="s">
        <v>119</v>
      </c>
      <c r="G102" s="14"/>
      <c r="H102" s="14"/>
      <c r="I102" s="14"/>
      <c r="J102" s="14">
        <v>859625.45</v>
      </c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>
        <v>458925</v>
      </c>
      <c r="W102" s="14">
        <f>SUM(G102:V102)</f>
        <v>1318550.45</v>
      </c>
    </row>
    <row r="103" spans="1:23" x14ac:dyDescent="0.25">
      <c r="A103" s="13">
        <v>2</v>
      </c>
      <c r="B103" s="13">
        <v>2</v>
      </c>
      <c r="C103" s="13">
        <v>8</v>
      </c>
      <c r="D103" s="13">
        <v>5</v>
      </c>
      <c r="E103" s="18" t="s">
        <v>49</v>
      </c>
      <c r="F103" s="9" t="s">
        <v>120</v>
      </c>
      <c r="G103" s="14">
        <v>258925.25</v>
      </c>
      <c r="H103" s="14"/>
      <c r="I103" s="14"/>
      <c r="J103" s="14">
        <v>958620.35</v>
      </c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>
        <f>SUM(G103:V103)</f>
        <v>1217545.6000000001</v>
      </c>
    </row>
    <row r="104" spans="1:23" x14ac:dyDescent="0.25">
      <c r="A104" s="13">
        <v>2</v>
      </c>
      <c r="B104" s="13">
        <v>2</v>
      </c>
      <c r="C104" s="13">
        <v>8</v>
      </c>
      <c r="D104" s="13">
        <v>5</v>
      </c>
      <c r="E104" s="18" t="s">
        <v>52</v>
      </c>
      <c r="F104" s="9" t="s">
        <v>121</v>
      </c>
      <c r="G104" s="14"/>
      <c r="H104" s="14"/>
      <c r="I104" s="14"/>
      <c r="J104" s="14">
        <v>4164495</v>
      </c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>
        <f>SUM(G104:V104)</f>
        <v>4164495</v>
      </c>
    </row>
    <row r="105" spans="1:23" ht="28.5" x14ac:dyDescent="0.25">
      <c r="A105" s="51">
        <v>2</v>
      </c>
      <c r="B105" s="51">
        <v>2</v>
      </c>
      <c r="C105" s="51">
        <v>8</v>
      </c>
      <c r="D105" s="51">
        <v>6</v>
      </c>
      <c r="E105" s="51"/>
      <c r="F105" s="55" t="s">
        <v>122</v>
      </c>
      <c r="G105" s="49">
        <f>SUM(G106:G109)</f>
        <v>35890</v>
      </c>
      <c r="H105" s="49">
        <f t="shared" ref="H105:W105" si="53">SUM(H106:H109)</f>
        <v>0</v>
      </c>
      <c r="I105" s="49">
        <f t="shared" si="53"/>
        <v>0</v>
      </c>
      <c r="J105" s="49">
        <f t="shared" si="53"/>
        <v>2713170.64</v>
      </c>
      <c r="K105" s="49">
        <f t="shared" si="53"/>
        <v>2739542.89</v>
      </c>
      <c r="L105" s="49">
        <f t="shared" si="53"/>
        <v>55625</v>
      </c>
      <c r="M105" s="49">
        <f t="shared" si="53"/>
        <v>0</v>
      </c>
      <c r="N105" s="49">
        <f t="shared" si="53"/>
        <v>255600</v>
      </c>
      <c r="O105" s="49">
        <f t="shared" si="53"/>
        <v>354892</v>
      </c>
      <c r="P105" s="49">
        <f t="shared" si="53"/>
        <v>0</v>
      </c>
      <c r="Q105" s="49">
        <f t="shared" si="53"/>
        <v>0</v>
      </c>
      <c r="R105" s="49">
        <f t="shared" si="53"/>
        <v>700000</v>
      </c>
      <c r="S105" s="49">
        <f t="shared" si="53"/>
        <v>0</v>
      </c>
      <c r="T105" s="49">
        <f t="shared" si="53"/>
        <v>2746535.65</v>
      </c>
      <c r="U105" s="49">
        <f t="shared" si="53"/>
        <v>0</v>
      </c>
      <c r="V105" s="49">
        <f t="shared" si="53"/>
        <v>5393.07</v>
      </c>
      <c r="W105" s="49">
        <f t="shared" si="53"/>
        <v>9606649.25</v>
      </c>
    </row>
    <row r="106" spans="1:23" x14ac:dyDescent="0.25">
      <c r="A106" s="13">
        <v>2</v>
      </c>
      <c r="B106" s="13">
        <v>2</v>
      </c>
      <c r="C106" s="13">
        <v>8</v>
      </c>
      <c r="D106" s="13">
        <v>6</v>
      </c>
      <c r="E106" s="18" t="s">
        <v>29</v>
      </c>
      <c r="F106" s="9" t="s">
        <v>123</v>
      </c>
      <c r="G106" s="14"/>
      <c r="H106" s="14"/>
      <c r="I106" s="14"/>
      <c r="J106" s="14">
        <v>2354225.64</v>
      </c>
      <c r="K106" s="14">
        <v>2212742.89</v>
      </c>
      <c r="L106" s="14">
        <v>55625</v>
      </c>
      <c r="M106" s="14"/>
      <c r="N106" s="14">
        <v>255600</v>
      </c>
      <c r="O106" s="14">
        <v>354892</v>
      </c>
      <c r="P106" s="14"/>
      <c r="Q106" s="14"/>
      <c r="R106" s="14">
        <v>700000</v>
      </c>
      <c r="S106" s="14"/>
      <c r="T106" s="14">
        <v>128645</v>
      </c>
      <c r="U106" s="14"/>
      <c r="V106" s="14">
        <v>5393.07</v>
      </c>
      <c r="W106" s="14">
        <f>SUM(G106:V106)</f>
        <v>6067123.6000000006</v>
      </c>
    </row>
    <row r="107" spans="1:23" x14ac:dyDescent="0.25">
      <c r="A107" s="13">
        <v>2</v>
      </c>
      <c r="B107" s="13">
        <v>2</v>
      </c>
      <c r="C107" s="13">
        <v>8</v>
      </c>
      <c r="D107" s="13">
        <v>6</v>
      </c>
      <c r="E107" s="18" t="s">
        <v>49</v>
      </c>
      <c r="F107" s="9" t="s">
        <v>124</v>
      </c>
      <c r="G107" s="14">
        <v>35890</v>
      </c>
      <c r="H107" s="14"/>
      <c r="I107" s="14"/>
      <c r="J107" s="14">
        <v>358945</v>
      </c>
      <c r="K107" s="14">
        <v>526800</v>
      </c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>
        <f>SUM(G107:V107)</f>
        <v>921635</v>
      </c>
    </row>
    <row r="108" spans="1:23" x14ac:dyDescent="0.25">
      <c r="A108" s="13">
        <v>2</v>
      </c>
      <c r="B108" s="13">
        <v>2</v>
      </c>
      <c r="C108" s="13">
        <v>8</v>
      </c>
      <c r="D108" s="13">
        <v>6</v>
      </c>
      <c r="E108" s="18" t="s">
        <v>52</v>
      </c>
      <c r="F108" s="9" t="s">
        <v>125</v>
      </c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>
        <v>2358950.65</v>
      </c>
      <c r="U108" s="14"/>
      <c r="V108" s="14"/>
      <c r="W108" s="14">
        <f>SUM(G108:V108)</f>
        <v>2358950.65</v>
      </c>
    </row>
    <row r="109" spans="1:23" x14ac:dyDescent="0.25">
      <c r="A109" s="13">
        <v>2</v>
      </c>
      <c r="B109" s="13">
        <v>2</v>
      </c>
      <c r="C109" s="13">
        <v>8</v>
      </c>
      <c r="D109" s="13">
        <v>6</v>
      </c>
      <c r="E109" s="18" t="s">
        <v>31</v>
      </c>
      <c r="F109" s="9" t="s">
        <v>126</v>
      </c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>
        <v>258940</v>
      </c>
      <c r="U109" s="14"/>
      <c r="V109" s="14"/>
      <c r="W109" s="14">
        <f>SUM(G109:V109)</f>
        <v>258940</v>
      </c>
    </row>
    <row r="110" spans="1:23" x14ac:dyDescent="0.25">
      <c r="A110" s="2">
        <v>2</v>
      </c>
      <c r="B110" s="2">
        <v>2</v>
      </c>
      <c r="C110" s="2">
        <v>8</v>
      </c>
      <c r="D110" s="2">
        <v>7</v>
      </c>
      <c r="E110" s="2"/>
      <c r="F110" s="8" t="s">
        <v>127</v>
      </c>
      <c r="G110" s="34">
        <f>SUM(G111:G114)</f>
        <v>2584760</v>
      </c>
      <c r="H110" s="34">
        <f t="shared" ref="H110:W110" si="54">SUM(H111:H114)</f>
        <v>2421284.21</v>
      </c>
      <c r="I110" s="34">
        <f t="shared" si="54"/>
        <v>0</v>
      </c>
      <c r="J110" s="34">
        <f t="shared" si="54"/>
        <v>0</v>
      </c>
      <c r="K110" s="34">
        <f t="shared" si="54"/>
        <v>2548600</v>
      </c>
      <c r="L110" s="34">
        <f t="shared" si="54"/>
        <v>0</v>
      </c>
      <c r="M110" s="34">
        <f t="shared" si="54"/>
        <v>0</v>
      </c>
      <c r="N110" s="34">
        <f t="shared" si="54"/>
        <v>0</v>
      </c>
      <c r="O110" s="34">
        <f t="shared" si="54"/>
        <v>0</v>
      </c>
      <c r="P110" s="34">
        <f t="shared" si="54"/>
        <v>0</v>
      </c>
      <c r="Q110" s="34">
        <f t="shared" si="54"/>
        <v>0</v>
      </c>
      <c r="R110" s="34">
        <f t="shared" si="54"/>
        <v>0</v>
      </c>
      <c r="S110" s="34">
        <f t="shared" si="54"/>
        <v>0</v>
      </c>
      <c r="T110" s="34">
        <f t="shared" si="54"/>
        <v>0</v>
      </c>
      <c r="U110" s="34">
        <f t="shared" si="54"/>
        <v>0</v>
      </c>
      <c r="V110" s="34">
        <f t="shared" si="54"/>
        <v>364520</v>
      </c>
      <c r="W110" s="34">
        <f t="shared" si="54"/>
        <v>7919164.21</v>
      </c>
    </row>
    <row r="111" spans="1:23" ht="30" x14ac:dyDescent="0.25">
      <c r="A111" s="11">
        <v>2</v>
      </c>
      <c r="B111" s="11">
        <v>2</v>
      </c>
      <c r="C111" s="11">
        <v>8</v>
      </c>
      <c r="D111" s="11">
        <v>7</v>
      </c>
      <c r="E111" s="18" t="s">
        <v>29</v>
      </c>
      <c r="F111" s="56" t="s">
        <v>128</v>
      </c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>
        <v>364520</v>
      </c>
      <c r="W111" s="57">
        <f>SUM(G111:V111)</f>
        <v>364520</v>
      </c>
    </row>
    <row r="112" spans="1:23" x14ac:dyDescent="0.25">
      <c r="A112" s="13">
        <v>2</v>
      </c>
      <c r="B112" s="13">
        <v>2</v>
      </c>
      <c r="C112" s="13">
        <v>8</v>
      </c>
      <c r="D112" s="13">
        <v>7</v>
      </c>
      <c r="E112" s="18" t="s">
        <v>52</v>
      </c>
      <c r="F112" s="9" t="s">
        <v>129</v>
      </c>
      <c r="G112" s="57">
        <v>2584760</v>
      </c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>
        <f>SUM(G112:V112)</f>
        <v>2584760</v>
      </c>
    </row>
    <row r="113" spans="1:24" x14ac:dyDescent="0.25">
      <c r="A113" s="13">
        <v>2</v>
      </c>
      <c r="B113" s="13">
        <v>2</v>
      </c>
      <c r="C113" s="13">
        <v>8</v>
      </c>
      <c r="D113" s="13">
        <v>7</v>
      </c>
      <c r="E113" s="18" t="s">
        <v>31</v>
      </c>
      <c r="F113" s="9" t="s">
        <v>130</v>
      </c>
      <c r="G113" s="57"/>
      <c r="H113" s="57"/>
      <c r="I113" s="57"/>
      <c r="J113" s="57"/>
      <c r="K113" s="57">
        <v>2548600</v>
      </c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>
        <f>SUM(G113:V113)</f>
        <v>2548600</v>
      </c>
    </row>
    <row r="114" spans="1:24" x14ac:dyDescent="0.25">
      <c r="A114" s="13">
        <v>2</v>
      </c>
      <c r="B114" s="13">
        <v>2</v>
      </c>
      <c r="C114" s="13">
        <v>8</v>
      </c>
      <c r="D114" s="13">
        <v>7</v>
      </c>
      <c r="E114" s="18" t="s">
        <v>33</v>
      </c>
      <c r="F114" s="9" t="s">
        <v>131</v>
      </c>
      <c r="G114" s="57"/>
      <c r="H114" s="57">
        <v>2421284.21</v>
      </c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>
        <f>SUM(G114:V114)</f>
        <v>2421284.21</v>
      </c>
    </row>
    <row r="115" spans="1:24" x14ac:dyDescent="0.25">
      <c r="A115" s="53">
        <v>2</v>
      </c>
      <c r="B115" s="53">
        <v>2</v>
      </c>
      <c r="C115" s="53">
        <v>9</v>
      </c>
      <c r="D115" s="53"/>
      <c r="E115" s="53"/>
      <c r="F115" s="7" t="s">
        <v>132</v>
      </c>
      <c r="G115" s="4">
        <f>G116</f>
        <v>835654</v>
      </c>
      <c r="H115" s="4">
        <f t="shared" ref="H115:W116" si="55">H116</f>
        <v>0</v>
      </c>
      <c r="I115" s="4">
        <f t="shared" si="55"/>
        <v>0</v>
      </c>
      <c r="J115" s="4">
        <f t="shared" si="55"/>
        <v>0</v>
      </c>
      <c r="K115" s="4">
        <f t="shared" si="55"/>
        <v>0</v>
      </c>
      <c r="L115" s="4">
        <f t="shared" si="55"/>
        <v>0</v>
      </c>
      <c r="M115" s="4">
        <f t="shared" si="55"/>
        <v>0</v>
      </c>
      <c r="N115" s="4">
        <f t="shared" si="55"/>
        <v>0</v>
      </c>
      <c r="O115" s="4">
        <f t="shared" si="55"/>
        <v>0</v>
      </c>
      <c r="P115" s="4">
        <f t="shared" si="55"/>
        <v>0</v>
      </c>
      <c r="Q115" s="4">
        <f t="shared" si="55"/>
        <v>0</v>
      </c>
      <c r="R115" s="4">
        <f t="shared" si="55"/>
        <v>0</v>
      </c>
      <c r="S115" s="4">
        <f t="shared" si="55"/>
        <v>0</v>
      </c>
      <c r="T115" s="4">
        <f t="shared" si="55"/>
        <v>0</v>
      </c>
      <c r="U115" s="4">
        <f t="shared" si="55"/>
        <v>0</v>
      </c>
      <c r="V115" s="4">
        <f t="shared" si="55"/>
        <v>0</v>
      </c>
      <c r="W115" s="4">
        <f t="shared" si="55"/>
        <v>835654</v>
      </c>
    </row>
    <row r="116" spans="1:24" x14ac:dyDescent="0.25">
      <c r="A116" s="51">
        <v>2</v>
      </c>
      <c r="B116" s="51">
        <v>2</v>
      </c>
      <c r="C116" s="51">
        <v>9</v>
      </c>
      <c r="D116" s="51">
        <v>1</v>
      </c>
      <c r="E116" s="51"/>
      <c r="F116" s="8" t="s">
        <v>133</v>
      </c>
      <c r="G116" s="34">
        <f>G117</f>
        <v>835654</v>
      </c>
      <c r="H116" s="34">
        <f t="shared" si="55"/>
        <v>0</v>
      </c>
      <c r="I116" s="34">
        <f t="shared" si="55"/>
        <v>0</v>
      </c>
      <c r="J116" s="34">
        <f t="shared" si="55"/>
        <v>0</v>
      </c>
      <c r="K116" s="34">
        <f t="shared" si="55"/>
        <v>0</v>
      </c>
      <c r="L116" s="34">
        <f t="shared" si="55"/>
        <v>0</v>
      </c>
      <c r="M116" s="34">
        <f t="shared" si="55"/>
        <v>0</v>
      </c>
      <c r="N116" s="34">
        <f t="shared" si="55"/>
        <v>0</v>
      </c>
      <c r="O116" s="34">
        <f t="shared" si="55"/>
        <v>0</v>
      </c>
      <c r="P116" s="34">
        <f t="shared" si="55"/>
        <v>0</v>
      </c>
      <c r="Q116" s="34">
        <f t="shared" si="55"/>
        <v>0</v>
      </c>
      <c r="R116" s="34">
        <f t="shared" si="55"/>
        <v>0</v>
      </c>
      <c r="S116" s="34">
        <f t="shared" si="55"/>
        <v>0</v>
      </c>
      <c r="T116" s="34">
        <f t="shared" si="55"/>
        <v>0</v>
      </c>
      <c r="U116" s="34">
        <f t="shared" si="55"/>
        <v>0</v>
      </c>
      <c r="V116" s="34">
        <f t="shared" si="55"/>
        <v>0</v>
      </c>
      <c r="W116" s="34">
        <f t="shared" si="55"/>
        <v>835654</v>
      </c>
    </row>
    <row r="117" spans="1:24" ht="23.25" customHeight="1" x14ac:dyDescent="0.25">
      <c r="A117" s="58">
        <v>2</v>
      </c>
      <c r="B117" s="58">
        <v>2</v>
      </c>
      <c r="C117" s="58">
        <v>9</v>
      </c>
      <c r="D117" s="58">
        <v>1</v>
      </c>
      <c r="E117" s="58" t="s">
        <v>49</v>
      </c>
      <c r="F117" s="56" t="s">
        <v>134</v>
      </c>
      <c r="G117" s="57">
        <v>835654</v>
      </c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>
        <f>SUM(G117:V117)</f>
        <v>835654</v>
      </c>
    </row>
    <row r="118" spans="1:24" x14ac:dyDescent="0.25">
      <c r="A118" s="59">
        <v>2</v>
      </c>
      <c r="B118" s="59">
        <v>3</v>
      </c>
      <c r="C118" s="59"/>
      <c r="D118" s="59"/>
      <c r="E118" s="59"/>
      <c r="F118" s="45" t="s">
        <v>135</v>
      </c>
      <c r="G118" s="60">
        <f>+G119+G123+G128+G137+G142+G145+G155</f>
        <v>278136</v>
      </c>
      <c r="H118" s="60">
        <f t="shared" ref="H118:V118" si="56">+H119+H123+H128+H137+H142+H145+H155</f>
        <v>129670</v>
      </c>
      <c r="I118" s="60">
        <f t="shared" si="56"/>
        <v>0</v>
      </c>
      <c r="J118" s="60">
        <f t="shared" si="56"/>
        <v>5289693</v>
      </c>
      <c r="K118" s="60">
        <f t="shared" si="56"/>
        <v>67680</v>
      </c>
      <c r="L118" s="60">
        <f t="shared" si="56"/>
        <v>54117</v>
      </c>
      <c r="M118" s="60">
        <f t="shared" si="56"/>
        <v>7245</v>
      </c>
      <c r="N118" s="60">
        <f t="shared" si="56"/>
        <v>140777</v>
      </c>
      <c r="O118" s="60">
        <f t="shared" si="56"/>
        <v>3079395</v>
      </c>
      <c r="P118" s="60">
        <f t="shared" si="56"/>
        <v>0</v>
      </c>
      <c r="Q118" s="60">
        <f t="shared" si="56"/>
        <v>0</v>
      </c>
      <c r="R118" s="60">
        <f t="shared" si="56"/>
        <v>1253898</v>
      </c>
      <c r="S118" s="60">
        <f t="shared" si="56"/>
        <v>430405</v>
      </c>
      <c r="T118" s="60">
        <f t="shared" si="56"/>
        <v>603478</v>
      </c>
      <c r="U118" s="60">
        <f t="shared" si="56"/>
        <v>0</v>
      </c>
      <c r="V118" s="60">
        <f t="shared" si="56"/>
        <v>3303901.6835000003</v>
      </c>
      <c r="W118" s="60">
        <f>W119+W123+W128+W137+W142+W145+W155</f>
        <v>14638395.683499999</v>
      </c>
      <c r="X118" s="78"/>
    </row>
    <row r="119" spans="1:24" x14ac:dyDescent="0.25">
      <c r="A119" s="3">
        <v>2</v>
      </c>
      <c r="B119" s="3">
        <v>3</v>
      </c>
      <c r="C119" s="3">
        <v>1</v>
      </c>
      <c r="D119" s="3"/>
      <c r="E119" s="3"/>
      <c r="F119" s="7" t="s">
        <v>136</v>
      </c>
      <c r="G119" s="4">
        <f>G120</f>
        <v>0</v>
      </c>
      <c r="H119" s="4">
        <f t="shared" ref="H119:V119" si="57">H120</f>
        <v>0</v>
      </c>
      <c r="I119" s="4">
        <f t="shared" si="57"/>
        <v>0</v>
      </c>
      <c r="J119" s="4">
        <f t="shared" si="57"/>
        <v>0</v>
      </c>
      <c r="K119" s="4">
        <f t="shared" si="57"/>
        <v>0</v>
      </c>
      <c r="L119" s="4">
        <f t="shared" si="57"/>
        <v>0</v>
      </c>
      <c r="M119" s="4">
        <f t="shared" si="57"/>
        <v>0</v>
      </c>
      <c r="N119" s="4">
        <f t="shared" si="57"/>
        <v>0</v>
      </c>
      <c r="O119" s="4">
        <f t="shared" si="57"/>
        <v>1473140</v>
      </c>
      <c r="P119" s="4">
        <f t="shared" si="57"/>
        <v>0</v>
      </c>
      <c r="Q119" s="4">
        <f t="shared" si="57"/>
        <v>0</v>
      </c>
      <c r="R119" s="4">
        <f t="shared" si="57"/>
        <v>0</v>
      </c>
      <c r="S119" s="4">
        <f t="shared" si="57"/>
        <v>0</v>
      </c>
      <c r="T119" s="4">
        <f t="shared" si="57"/>
        <v>0</v>
      </c>
      <c r="U119" s="4">
        <f t="shared" si="57"/>
        <v>0</v>
      </c>
      <c r="V119" s="4">
        <f t="shared" si="57"/>
        <v>0</v>
      </c>
      <c r="W119" s="4">
        <f>W120</f>
        <v>1473140</v>
      </c>
    </row>
    <row r="120" spans="1:24" x14ac:dyDescent="0.25">
      <c r="A120" s="2">
        <v>2</v>
      </c>
      <c r="B120" s="2">
        <v>3</v>
      </c>
      <c r="C120" s="2">
        <v>1</v>
      </c>
      <c r="D120" s="2">
        <v>3</v>
      </c>
      <c r="E120" s="2"/>
      <c r="F120" s="8" t="s">
        <v>137</v>
      </c>
      <c r="G120" s="34">
        <f>SUM(G121:G122)</f>
        <v>0</v>
      </c>
      <c r="H120" s="34">
        <f t="shared" ref="H120:W120" si="58">SUM(H121:H122)</f>
        <v>0</v>
      </c>
      <c r="I120" s="34">
        <f t="shared" si="58"/>
        <v>0</v>
      </c>
      <c r="J120" s="34">
        <f t="shared" si="58"/>
        <v>0</v>
      </c>
      <c r="K120" s="34">
        <f t="shared" si="58"/>
        <v>0</v>
      </c>
      <c r="L120" s="34">
        <f t="shared" si="58"/>
        <v>0</v>
      </c>
      <c r="M120" s="34">
        <f t="shared" si="58"/>
        <v>0</v>
      </c>
      <c r="N120" s="34">
        <f t="shared" si="58"/>
        <v>0</v>
      </c>
      <c r="O120" s="34">
        <f t="shared" si="58"/>
        <v>1473140</v>
      </c>
      <c r="P120" s="34">
        <f t="shared" si="58"/>
        <v>0</v>
      </c>
      <c r="Q120" s="34">
        <f t="shared" si="58"/>
        <v>0</v>
      </c>
      <c r="R120" s="34">
        <f t="shared" si="58"/>
        <v>0</v>
      </c>
      <c r="S120" s="34">
        <f t="shared" si="58"/>
        <v>0</v>
      </c>
      <c r="T120" s="34">
        <f t="shared" si="58"/>
        <v>0</v>
      </c>
      <c r="U120" s="34">
        <f t="shared" si="58"/>
        <v>0</v>
      </c>
      <c r="V120" s="34">
        <f t="shared" si="58"/>
        <v>0</v>
      </c>
      <c r="W120" s="34">
        <f t="shared" si="58"/>
        <v>1473140</v>
      </c>
    </row>
    <row r="121" spans="1:24" x14ac:dyDescent="0.25">
      <c r="A121" s="13">
        <v>2</v>
      </c>
      <c r="B121" s="13">
        <v>3</v>
      </c>
      <c r="C121" s="13">
        <v>1</v>
      </c>
      <c r="D121" s="13">
        <v>3</v>
      </c>
      <c r="E121" s="18" t="s">
        <v>49</v>
      </c>
      <c r="F121" s="9" t="s">
        <v>138</v>
      </c>
      <c r="G121" s="1"/>
      <c r="H121" s="1"/>
      <c r="I121" s="1"/>
      <c r="J121" s="1"/>
      <c r="K121" s="1"/>
      <c r="L121" s="1"/>
      <c r="M121" s="1"/>
      <c r="N121" s="1"/>
      <c r="O121" s="57">
        <v>1345620</v>
      </c>
      <c r="P121" s="1"/>
      <c r="Q121" s="57"/>
      <c r="R121" s="1"/>
      <c r="S121" s="1"/>
      <c r="T121" s="1"/>
      <c r="U121" s="1"/>
      <c r="V121" s="1"/>
      <c r="W121" s="14">
        <f>SUM(G121:V121)</f>
        <v>1345620</v>
      </c>
    </row>
    <row r="122" spans="1:24" x14ac:dyDescent="0.25">
      <c r="A122" s="13">
        <v>2</v>
      </c>
      <c r="B122" s="13">
        <v>3</v>
      </c>
      <c r="C122" s="13">
        <v>1</v>
      </c>
      <c r="D122" s="13">
        <v>3</v>
      </c>
      <c r="E122" s="18" t="s">
        <v>52</v>
      </c>
      <c r="F122" s="9" t="s">
        <v>139</v>
      </c>
      <c r="G122" s="1"/>
      <c r="H122" s="1"/>
      <c r="I122" s="1"/>
      <c r="J122" s="1"/>
      <c r="K122" s="1"/>
      <c r="L122" s="1"/>
      <c r="M122" s="1"/>
      <c r="N122" s="1"/>
      <c r="O122" s="57">
        <v>127520</v>
      </c>
      <c r="P122" s="1"/>
      <c r="Q122" s="57"/>
      <c r="R122" s="1"/>
      <c r="S122" s="1"/>
      <c r="T122" s="1"/>
      <c r="U122" s="1"/>
      <c r="V122" s="1"/>
      <c r="W122" s="14">
        <f>SUM(G122:V122)</f>
        <v>127520</v>
      </c>
    </row>
    <row r="123" spans="1:24" x14ac:dyDescent="0.25">
      <c r="A123" s="13">
        <v>2</v>
      </c>
      <c r="B123" s="3">
        <v>3</v>
      </c>
      <c r="C123" s="3">
        <v>2</v>
      </c>
      <c r="D123" s="3"/>
      <c r="E123" s="3"/>
      <c r="F123" s="7" t="s">
        <v>140</v>
      </c>
      <c r="G123" s="4">
        <f>+G124+G126</f>
        <v>0</v>
      </c>
      <c r="H123" s="4">
        <f t="shared" ref="H123:V123" si="59">+H124+H126</f>
        <v>0</v>
      </c>
      <c r="I123" s="4">
        <f t="shared" si="59"/>
        <v>0</v>
      </c>
      <c r="J123" s="4">
        <f t="shared" si="59"/>
        <v>172760</v>
      </c>
      <c r="K123" s="4">
        <f t="shared" si="59"/>
        <v>0</v>
      </c>
      <c r="L123" s="4">
        <f t="shared" si="59"/>
        <v>0</v>
      </c>
      <c r="M123" s="4">
        <f t="shared" si="59"/>
        <v>0</v>
      </c>
      <c r="N123" s="4">
        <f t="shared" si="59"/>
        <v>0</v>
      </c>
      <c r="O123" s="4">
        <f t="shared" si="59"/>
        <v>191920</v>
      </c>
      <c r="P123" s="4">
        <f t="shared" si="59"/>
        <v>0</v>
      </c>
      <c r="Q123" s="4">
        <f t="shared" si="59"/>
        <v>0</v>
      </c>
      <c r="R123" s="4">
        <f t="shared" si="59"/>
        <v>0</v>
      </c>
      <c r="S123" s="4">
        <f t="shared" si="59"/>
        <v>0</v>
      </c>
      <c r="T123" s="4">
        <f t="shared" si="59"/>
        <v>0</v>
      </c>
      <c r="U123" s="4">
        <f t="shared" si="59"/>
        <v>0</v>
      </c>
      <c r="V123" s="4">
        <f t="shared" si="59"/>
        <v>0</v>
      </c>
      <c r="W123" s="4">
        <f>W124+W126</f>
        <v>364680</v>
      </c>
    </row>
    <row r="124" spans="1:24" x14ac:dyDescent="0.25">
      <c r="A124" s="2">
        <v>2</v>
      </c>
      <c r="B124" s="2">
        <v>3</v>
      </c>
      <c r="C124" s="2">
        <v>2</v>
      </c>
      <c r="D124" s="2">
        <v>3</v>
      </c>
      <c r="E124" s="2"/>
      <c r="F124" s="8" t="s">
        <v>141</v>
      </c>
      <c r="G124" s="34">
        <f>G125</f>
        <v>0</v>
      </c>
      <c r="H124" s="34">
        <f t="shared" ref="H124:W124" si="60">H125</f>
        <v>0</v>
      </c>
      <c r="I124" s="34">
        <f t="shared" si="60"/>
        <v>0</v>
      </c>
      <c r="J124" s="34">
        <f t="shared" si="60"/>
        <v>75260</v>
      </c>
      <c r="K124" s="34">
        <f t="shared" si="60"/>
        <v>0</v>
      </c>
      <c r="L124" s="34">
        <f t="shared" si="60"/>
        <v>0</v>
      </c>
      <c r="M124" s="34">
        <f t="shared" si="60"/>
        <v>0</v>
      </c>
      <c r="N124" s="34">
        <f t="shared" si="60"/>
        <v>0</v>
      </c>
      <c r="O124" s="34">
        <f t="shared" si="60"/>
        <v>125620</v>
      </c>
      <c r="P124" s="34">
        <f t="shared" si="60"/>
        <v>0</v>
      </c>
      <c r="Q124" s="34">
        <f t="shared" si="60"/>
        <v>0</v>
      </c>
      <c r="R124" s="34">
        <f t="shared" si="60"/>
        <v>0</v>
      </c>
      <c r="S124" s="34">
        <f t="shared" si="60"/>
        <v>0</v>
      </c>
      <c r="T124" s="34">
        <f t="shared" si="60"/>
        <v>0</v>
      </c>
      <c r="U124" s="34">
        <f t="shared" si="60"/>
        <v>0</v>
      </c>
      <c r="V124" s="34">
        <f t="shared" si="60"/>
        <v>0</v>
      </c>
      <c r="W124" s="34">
        <f t="shared" si="60"/>
        <v>200880</v>
      </c>
    </row>
    <row r="125" spans="1:24" x14ac:dyDescent="0.25">
      <c r="A125" s="13">
        <v>2</v>
      </c>
      <c r="B125" s="13">
        <v>3</v>
      </c>
      <c r="C125" s="13">
        <v>2</v>
      </c>
      <c r="D125" s="13">
        <v>3</v>
      </c>
      <c r="E125" s="18" t="s">
        <v>29</v>
      </c>
      <c r="F125" s="9" t="s">
        <v>141</v>
      </c>
      <c r="G125" s="1"/>
      <c r="H125" s="1"/>
      <c r="I125" s="1"/>
      <c r="J125" s="57">
        <v>75260</v>
      </c>
      <c r="K125" s="1"/>
      <c r="L125" s="1"/>
      <c r="M125" s="1"/>
      <c r="N125" s="1"/>
      <c r="O125" s="57">
        <v>125620</v>
      </c>
      <c r="P125" s="1"/>
      <c r="Q125" s="57"/>
      <c r="R125" s="1"/>
      <c r="S125" s="1"/>
      <c r="T125" s="1"/>
      <c r="U125" s="1"/>
      <c r="V125" s="1"/>
      <c r="W125" s="14">
        <f>SUM(G125:V125)</f>
        <v>200880</v>
      </c>
    </row>
    <row r="126" spans="1:24" x14ac:dyDescent="0.25">
      <c r="A126" s="2">
        <v>2</v>
      </c>
      <c r="B126" s="2">
        <v>3</v>
      </c>
      <c r="C126" s="2">
        <v>2</v>
      </c>
      <c r="D126" s="2">
        <v>4</v>
      </c>
      <c r="E126" s="2"/>
      <c r="F126" s="8" t="s">
        <v>142</v>
      </c>
      <c r="G126" s="34">
        <f>G127</f>
        <v>0</v>
      </c>
      <c r="H126" s="34">
        <f t="shared" ref="H126:W126" si="61">H127</f>
        <v>0</v>
      </c>
      <c r="I126" s="34">
        <f t="shared" si="61"/>
        <v>0</v>
      </c>
      <c r="J126" s="34">
        <f t="shared" si="61"/>
        <v>97500</v>
      </c>
      <c r="K126" s="34">
        <f t="shared" si="61"/>
        <v>0</v>
      </c>
      <c r="L126" s="34">
        <f t="shared" si="61"/>
        <v>0</v>
      </c>
      <c r="M126" s="34">
        <f t="shared" si="61"/>
        <v>0</v>
      </c>
      <c r="N126" s="34">
        <f t="shared" si="61"/>
        <v>0</v>
      </c>
      <c r="O126" s="34">
        <f t="shared" si="61"/>
        <v>66300</v>
      </c>
      <c r="P126" s="34">
        <f t="shared" si="61"/>
        <v>0</v>
      </c>
      <c r="Q126" s="34">
        <f t="shared" si="61"/>
        <v>0</v>
      </c>
      <c r="R126" s="34">
        <f t="shared" si="61"/>
        <v>0</v>
      </c>
      <c r="S126" s="34">
        <f t="shared" si="61"/>
        <v>0</v>
      </c>
      <c r="T126" s="34">
        <f t="shared" si="61"/>
        <v>0</v>
      </c>
      <c r="U126" s="34">
        <f t="shared" si="61"/>
        <v>0</v>
      </c>
      <c r="V126" s="34">
        <f t="shared" si="61"/>
        <v>0</v>
      </c>
      <c r="W126" s="34">
        <f t="shared" si="61"/>
        <v>163800</v>
      </c>
    </row>
    <row r="127" spans="1:24" x14ac:dyDescent="0.25">
      <c r="A127" s="13">
        <v>2</v>
      </c>
      <c r="B127" s="13">
        <v>3</v>
      </c>
      <c r="C127" s="13">
        <v>2</v>
      </c>
      <c r="D127" s="13">
        <v>4</v>
      </c>
      <c r="E127" s="18" t="s">
        <v>29</v>
      </c>
      <c r="F127" s="9" t="s">
        <v>142</v>
      </c>
      <c r="G127" s="1"/>
      <c r="H127" s="1"/>
      <c r="I127" s="1"/>
      <c r="J127" s="57">
        <f>650*50*3</f>
        <v>97500</v>
      </c>
      <c r="K127" s="1"/>
      <c r="L127" s="1"/>
      <c r="M127" s="1"/>
      <c r="N127" s="1"/>
      <c r="O127" s="57">
        <f>650*34*3</f>
        <v>66300</v>
      </c>
      <c r="P127" s="1"/>
      <c r="Q127" s="57"/>
      <c r="R127" s="1"/>
      <c r="S127" s="1"/>
      <c r="T127" s="1"/>
      <c r="U127" s="1"/>
      <c r="V127" s="1"/>
      <c r="W127" s="14">
        <f>SUM(G127:V127)</f>
        <v>163800</v>
      </c>
    </row>
    <row r="128" spans="1:24" x14ac:dyDescent="0.25">
      <c r="A128" s="3">
        <v>2</v>
      </c>
      <c r="B128" s="3">
        <v>3</v>
      </c>
      <c r="C128" s="3">
        <v>3</v>
      </c>
      <c r="D128" s="3"/>
      <c r="E128" s="3"/>
      <c r="F128" s="7" t="s">
        <v>143</v>
      </c>
      <c r="G128" s="4">
        <f>G129+G131+G133+G135</f>
        <v>138420</v>
      </c>
      <c r="H128" s="4">
        <f t="shared" ref="H128:V128" si="62">H129+H131+H133+H135</f>
        <v>3780</v>
      </c>
      <c r="I128" s="4">
        <f t="shared" si="62"/>
        <v>0</v>
      </c>
      <c r="J128" s="4">
        <f t="shared" si="62"/>
        <v>58275</v>
      </c>
      <c r="K128" s="4">
        <f t="shared" si="62"/>
        <v>16380</v>
      </c>
      <c r="L128" s="4">
        <f t="shared" si="62"/>
        <v>37800</v>
      </c>
      <c r="M128" s="4">
        <f t="shared" si="62"/>
        <v>7245</v>
      </c>
      <c r="N128" s="4">
        <f t="shared" si="62"/>
        <v>56070</v>
      </c>
      <c r="O128" s="4">
        <f t="shared" si="62"/>
        <v>23625</v>
      </c>
      <c r="P128" s="4">
        <f t="shared" si="62"/>
        <v>0</v>
      </c>
      <c r="Q128" s="4">
        <f t="shared" si="62"/>
        <v>0</v>
      </c>
      <c r="R128" s="4">
        <f t="shared" si="62"/>
        <v>1224780</v>
      </c>
      <c r="S128" s="4">
        <f t="shared" si="62"/>
        <v>4725</v>
      </c>
      <c r="T128" s="4">
        <f t="shared" si="62"/>
        <v>4725</v>
      </c>
      <c r="U128" s="4">
        <f t="shared" si="62"/>
        <v>0</v>
      </c>
      <c r="V128" s="4">
        <f t="shared" si="62"/>
        <v>3282551.6835000003</v>
      </c>
      <c r="W128" s="4">
        <f>W129+W131+W133+W135</f>
        <v>4858376.6835000003</v>
      </c>
    </row>
    <row r="129" spans="1:23" x14ac:dyDescent="0.25">
      <c r="A129" s="2">
        <v>2</v>
      </c>
      <c r="B129" s="2">
        <v>3</v>
      </c>
      <c r="C129" s="2">
        <v>3</v>
      </c>
      <c r="D129" s="2">
        <v>1</v>
      </c>
      <c r="E129" s="2"/>
      <c r="F129" s="8" t="s">
        <v>144</v>
      </c>
      <c r="G129" s="34">
        <f>G130</f>
        <v>13860</v>
      </c>
      <c r="H129" s="34">
        <f t="shared" ref="H129:W129" si="63">H130</f>
        <v>3780</v>
      </c>
      <c r="I129" s="34">
        <f t="shared" si="63"/>
        <v>0</v>
      </c>
      <c r="J129" s="34">
        <f t="shared" si="63"/>
        <v>58275</v>
      </c>
      <c r="K129" s="34">
        <f t="shared" si="63"/>
        <v>16380</v>
      </c>
      <c r="L129" s="34">
        <f t="shared" si="63"/>
        <v>37800</v>
      </c>
      <c r="M129" s="34">
        <f t="shared" si="63"/>
        <v>7245</v>
      </c>
      <c r="N129" s="34">
        <f t="shared" si="63"/>
        <v>56070</v>
      </c>
      <c r="O129" s="34">
        <f t="shared" si="63"/>
        <v>23625</v>
      </c>
      <c r="P129" s="34">
        <f t="shared" si="63"/>
        <v>0</v>
      </c>
      <c r="Q129" s="34">
        <f t="shared" si="63"/>
        <v>0</v>
      </c>
      <c r="R129" s="34">
        <f t="shared" si="63"/>
        <v>19530</v>
      </c>
      <c r="S129" s="34">
        <f t="shared" si="63"/>
        <v>4725</v>
      </c>
      <c r="T129" s="34">
        <f t="shared" si="63"/>
        <v>4725</v>
      </c>
      <c r="U129" s="34">
        <f t="shared" si="63"/>
        <v>0</v>
      </c>
      <c r="V129" s="34">
        <f t="shared" si="63"/>
        <v>7560</v>
      </c>
      <c r="W129" s="34">
        <f t="shared" si="63"/>
        <v>253575</v>
      </c>
    </row>
    <row r="130" spans="1:23" x14ac:dyDescent="0.25">
      <c r="A130" s="13">
        <v>2</v>
      </c>
      <c r="B130" s="13">
        <v>3</v>
      </c>
      <c r="C130" s="13">
        <v>3</v>
      </c>
      <c r="D130" s="13">
        <v>1</v>
      </c>
      <c r="E130" s="18" t="s">
        <v>29</v>
      </c>
      <c r="F130" s="9" t="s">
        <v>144</v>
      </c>
      <c r="G130" s="57">
        <f>315*44</f>
        <v>13860</v>
      </c>
      <c r="H130" s="57">
        <f>315*12</f>
        <v>3780</v>
      </c>
      <c r="I130" s="57"/>
      <c r="J130" s="57">
        <f>315*185</f>
        <v>58275</v>
      </c>
      <c r="K130" s="57">
        <f>315*52</f>
        <v>16380</v>
      </c>
      <c r="L130" s="57">
        <f>315*120</f>
        <v>37800</v>
      </c>
      <c r="M130" s="57">
        <f>315*23</f>
        <v>7245</v>
      </c>
      <c r="N130" s="57">
        <f>315*178</f>
        <v>56070</v>
      </c>
      <c r="O130" s="57">
        <f>315*75</f>
        <v>23625</v>
      </c>
      <c r="P130" s="57"/>
      <c r="Q130" s="57"/>
      <c r="R130" s="57">
        <f>315*62</f>
        <v>19530</v>
      </c>
      <c r="S130" s="57">
        <f>315*15</f>
        <v>4725</v>
      </c>
      <c r="T130" s="57">
        <f>315*15</f>
        <v>4725</v>
      </c>
      <c r="U130" s="57"/>
      <c r="V130" s="57">
        <f>315*24</f>
        <v>7560</v>
      </c>
      <c r="W130" s="14">
        <f>SUM(G130:V130)</f>
        <v>253575</v>
      </c>
    </row>
    <row r="131" spans="1:23" x14ac:dyDescent="0.25">
      <c r="A131" s="2">
        <v>2</v>
      </c>
      <c r="B131" s="2">
        <v>3</v>
      </c>
      <c r="C131" s="2">
        <v>3</v>
      </c>
      <c r="D131" s="2">
        <v>3</v>
      </c>
      <c r="E131" s="2"/>
      <c r="F131" s="8" t="s">
        <v>145</v>
      </c>
      <c r="G131" s="34">
        <f>G132</f>
        <v>124560</v>
      </c>
      <c r="H131" s="34">
        <f t="shared" ref="H131:W131" si="64">H132</f>
        <v>0</v>
      </c>
      <c r="I131" s="34">
        <f t="shared" si="64"/>
        <v>0</v>
      </c>
      <c r="J131" s="34">
        <f t="shared" si="64"/>
        <v>0</v>
      </c>
      <c r="K131" s="34">
        <f t="shared" si="64"/>
        <v>0</v>
      </c>
      <c r="L131" s="34">
        <f t="shared" si="64"/>
        <v>0</v>
      </c>
      <c r="M131" s="34">
        <f t="shared" si="64"/>
        <v>0</v>
      </c>
      <c r="N131" s="34">
        <f t="shared" si="64"/>
        <v>0</v>
      </c>
      <c r="O131" s="34">
        <f t="shared" si="64"/>
        <v>0</v>
      </c>
      <c r="P131" s="34">
        <f t="shared" si="64"/>
        <v>0</v>
      </c>
      <c r="Q131" s="34">
        <f t="shared" si="64"/>
        <v>0</v>
      </c>
      <c r="R131" s="34">
        <f t="shared" si="64"/>
        <v>0</v>
      </c>
      <c r="S131" s="34">
        <f t="shared" si="64"/>
        <v>0</v>
      </c>
      <c r="T131" s="34">
        <f t="shared" si="64"/>
        <v>0</v>
      </c>
      <c r="U131" s="34">
        <f t="shared" si="64"/>
        <v>0</v>
      </c>
      <c r="V131" s="34">
        <f t="shared" si="64"/>
        <v>0</v>
      </c>
      <c r="W131" s="34">
        <f t="shared" si="64"/>
        <v>124560</v>
      </c>
    </row>
    <row r="132" spans="1:23" x14ac:dyDescent="0.25">
      <c r="A132" s="13">
        <v>2</v>
      </c>
      <c r="B132" s="13">
        <v>3</v>
      </c>
      <c r="C132" s="13">
        <v>3</v>
      </c>
      <c r="D132" s="13">
        <v>3</v>
      </c>
      <c r="E132" s="18" t="s">
        <v>29</v>
      </c>
      <c r="F132" s="9" t="s">
        <v>146</v>
      </c>
      <c r="G132" s="57">
        <v>124560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4">
        <f>SUM(G132:V132)</f>
        <v>124560</v>
      </c>
    </row>
    <row r="133" spans="1:23" x14ac:dyDescent="0.25">
      <c r="A133" s="13">
        <v>2</v>
      </c>
      <c r="B133" s="13">
        <v>3</v>
      </c>
      <c r="C133" s="13">
        <v>3</v>
      </c>
      <c r="D133" s="13">
        <v>4</v>
      </c>
      <c r="E133" s="18"/>
      <c r="F133" s="8" t="s">
        <v>147</v>
      </c>
      <c r="G133" s="34">
        <f>G134</f>
        <v>0</v>
      </c>
      <c r="H133" s="34">
        <f t="shared" ref="H133:W133" si="65">H134</f>
        <v>0</v>
      </c>
      <c r="I133" s="34">
        <f t="shared" si="65"/>
        <v>0</v>
      </c>
      <c r="J133" s="34">
        <f t="shared" si="65"/>
        <v>0</v>
      </c>
      <c r="K133" s="34">
        <f t="shared" si="65"/>
        <v>0</v>
      </c>
      <c r="L133" s="34">
        <f t="shared" si="65"/>
        <v>0</v>
      </c>
      <c r="M133" s="34">
        <f t="shared" si="65"/>
        <v>0</v>
      </c>
      <c r="N133" s="34">
        <f t="shared" si="65"/>
        <v>0</v>
      </c>
      <c r="O133" s="34">
        <f t="shared" si="65"/>
        <v>0</v>
      </c>
      <c r="P133" s="34">
        <f t="shared" si="65"/>
        <v>0</v>
      </c>
      <c r="Q133" s="34">
        <f t="shared" si="65"/>
        <v>0</v>
      </c>
      <c r="R133" s="34">
        <f t="shared" si="65"/>
        <v>0</v>
      </c>
      <c r="S133" s="34">
        <f t="shared" si="65"/>
        <v>0</v>
      </c>
      <c r="T133" s="34">
        <f t="shared" si="65"/>
        <v>0</v>
      </c>
      <c r="U133" s="34">
        <f t="shared" si="65"/>
        <v>0</v>
      </c>
      <c r="V133" s="34">
        <f t="shared" si="65"/>
        <v>1356258</v>
      </c>
      <c r="W133" s="34">
        <f t="shared" si="65"/>
        <v>1356258</v>
      </c>
    </row>
    <row r="134" spans="1:23" x14ac:dyDescent="0.25">
      <c r="A134" s="13">
        <v>2</v>
      </c>
      <c r="B134" s="13">
        <v>3</v>
      </c>
      <c r="C134" s="13">
        <v>3</v>
      </c>
      <c r="D134" s="13">
        <v>4</v>
      </c>
      <c r="E134" s="18" t="s">
        <v>29</v>
      </c>
      <c r="F134" s="9" t="s">
        <v>147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>
        <v>1356258</v>
      </c>
      <c r="W134" s="14">
        <f>SUM(G134:V134)</f>
        <v>1356258</v>
      </c>
    </row>
    <row r="135" spans="1:23" x14ac:dyDescent="0.25">
      <c r="A135" s="13">
        <v>2</v>
      </c>
      <c r="B135" s="13">
        <v>3</v>
      </c>
      <c r="C135" s="13">
        <v>3</v>
      </c>
      <c r="D135" s="13">
        <v>5</v>
      </c>
      <c r="E135" s="18"/>
      <c r="F135" s="8" t="s">
        <v>148</v>
      </c>
      <c r="G135" s="34">
        <f>G136</f>
        <v>0</v>
      </c>
      <c r="H135" s="34">
        <f t="shared" ref="H135:W135" si="66">H136</f>
        <v>0</v>
      </c>
      <c r="I135" s="34">
        <f t="shared" si="66"/>
        <v>0</v>
      </c>
      <c r="J135" s="34">
        <f t="shared" si="66"/>
        <v>0</v>
      </c>
      <c r="K135" s="34">
        <f t="shared" si="66"/>
        <v>0</v>
      </c>
      <c r="L135" s="34">
        <f t="shared" si="66"/>
        <v>0</v>
      </c>
      <c r="M135" s="34">
        <f t="shared" si="66"/>
        <v>0</v>
      </c>
      <c r="N135" s="34">
        <f t="shared" si="66"/>
        <v>0</v>
      </c>
      <c r="O135" s="34">
        <f t="shared" si="66"/>
        <v>0</v>
      </c>
      <c r="P135" s="34">
        <f t="shared" si="66"/>
        <v>0</v>
      </c>
      <c r="Q135" s="34">
        <f t="shared" si="66"/>
        <v>0</v>
      </c>
      <c r="R135" s="34">
        <f t="shared" si="66"/>
        <v>1205250</v>
      </c>
      <c r="S135" s="34">
        <f t="shared" si="66"/>
        <v>0</v>
      </c>
      <c r="T135" s="34">
        <f t="shared" si="66"/>
        <v>0</v>
      </c>
      <c r="U135" s="34">
        <f t="shared" si="66"/>
        <v>0</v>
      </c>
      <c r="V135" s="34">
        <f t="shared" si="66"/>
        <v>1918733.6835</v>
      </c>
      <c r="W135" s="34">
        <f t="shared" si="66"/>
        <v>3123983.6835000003</v>
      </c>
    </row>
    <row r="136" spans="1:23" x14ac:dyDescent="0.25">
      <c r="A136" s="13">
        <v>2</v>
      </c>
      <c r="B136" s="13">
        <v>3</v>
      </c>
      <c r="C136" s="13">
        <v>3</v>
      </c>
      <c r="D136" s="13">
        <v>5</v>
      </c>
      <c r="E136" s="18" t="s">
        <v>29</v>
      </c>
      <c r="F136" s="9" t="s">
        <v>148</v>
      </c>
      <c r="G136" s="1"/>
      <c r="H136" s="1"/>
      <c r="I136" s="14"/>
      <c r="J136" s="1"/>
      <c r="K136" s="1"/>
      <c r="L136" s="1"/>
      <c r="M136" s="1"/>
      <c r="N136" s="1"/>
      <c r="O136" s="1"/>
      <c r="P136" s="1"/>
      <c r="Q136" s="1"/>
      <c r="R136" s="57">
        <v>1205250</v>
      </c>
      <c r="S136" s="1"/>
      <c r="T136" s="1"/>
      <c r="U136" s="1"/>
      <c r="V136" s="14">
        <f>1421284.21*1.35</f>
        <v>1918733.6835</v>
      </c>
      <c r="W136" s="14">
        <f>SUM(G136:V136)</f>
        <v>3123983.6835000003</v>
      </c>
    </row>
    <row r="137" spans="1:23" x14ac:dyDescent="0.25">
      <c r="A137" s="3">
        <v>2</v>
      </c>
      <c r="B137" s="3">
        <v>3</v>
      </c>
      <c r="C137" s="3">
        <v>5</v>
      </c>
      <c r="D137" s="3"/>
      <c r="E137" s="3"/>
      <c r="F137" s="7" t="s">
        <v>149</v>
      </c>
      <c r="G137" s="4">
        <f>G138+G140</f>
        <v>59810</v>
      </c>
      <c r="H137" s="4">
        <f t="shared" ref="H137:V137" si="67">H138+H140</f>
        <v>0</v>
      </c>
      <c r="I137" s="4">
        <f t="shared" si="67"/>
        <v>0</v>
      </c>
      <c r="J137" s="4">
        <f t="shared" si="67"/>
        <v>205924</v>
      </c>
      <c r="K137" s="4">
        <f t="shared" si="67"/>
        <v>41300</v>
      </c>
      <c r="L137" s="4">
        <f t="shared" si="67"/>
        <v>3250</v>
      </c>
      <c r="M137" s="4">
        <f t="shared" si="67"/>
        <v>0</v>
      </c>
      <c r="N137" s="4">
        <f t="shared" si="67"/>
        <v>5640</v>
      </c>
      <c r="O137" s="4">
        <f t="shared" si="67"/>
        <v>0</v>
      </c>
      <c r="P137" s="4">
        <f t="shared" si="67"/>
        <v>0</v>
      </c>
      <c r="Q137" s="4">
        <f t="shared" si="67"/>
        <v>0</v>
      </c>
      <c r="R137" s="4">
        <f t="shared" si="67"/>
        <v>3540</v>
      </c>
      <c r="S137" s="4">
        <f t="shared" si="67"/>
        <v>0</v>
      </c>
      <c r="T137" s="4">
        <f t="shared" si="67"/>
        <v>0</v>
      </c>
      <c r="U137" s="4">
        <f t="shared" si="67"/>
        <v>0</v>
      </c>
      <c r="V137" s="4">
        <f t="shared" si="67"/>
        <v>0</v>
      </c>
      <c r="W137" s="4">
        <f>W138+W140</f>
        <v>319464</v>
      </c>
    </row>
    <row r="138" spans="1:23" x14ac:dyDescent="0.25">
      <c r="A138" s="2">
        <v>2</v>
      </c>
      <c r="B138" s="2">
        <v>3</v>
      </c>
      <c r="C138" s="2">
        <v>5</v>
      </c>
      <c r="D138" s="2">
        <v>3</v>
      </c>
      <c r="E138" s="18"/>
      <c r="F138" s="8" t="s">
        <v>150</v>
      </c>
      <c r="G138" s="34">
        <f>G139</f>
        <v>51250</v>
      </c>
      <c r="H138" s="34">
        <f t="shared" ref="H138:W138" si="68">H139</f>
        <v>0</v>
      </c>
      <c r="I138" s="34">
        <f t="shared" si="68"/>
        <v>0</v>
      </c>
      <c r="J138" s="34">
        <f t="shared" si="68"/>
        <v>200284</v>
      </c>
      <c r="K138" s="34">
        <f t="shared" si="68"/>
        <v>41300</v>
      </c>
      <c r="L138" s="34">
        <f t="shared" si="68"/>
        <v>0</v>
      </c>
      <c r="M138" s="34">
        <f t="shared" si="68"/>
        <v>0</v>
      </c>
      <c r="N138" s="34">
        <f t="shared" si="68"/>
        <v>0</v>
      </c>
      <c r="O138" s="34">
        <f t="shared" si="68"/>
        <v>0</v>
      </c>
      <c r="P138" s="34">
        <f t="shared" si="68"/>
        <v>0</v>
      </c>
      <c r="Q138" s="34">
        <f t="shared" si="68"/>
        <v>0</v>
      </c>
      <c r="R138" s="34">
        <f t="shared" si="68"/>
        <v>0</v>
      </c>
      <c r="S138" s="34">
        <f t="shared" si="68"/>
        <v>0</v>
      </c>
      <c r="T138" s="34">
        <f t="shared" si="68"/>
        <v>0</v>
      </c>
      <c r="U138" s="34">
        <f t="shared" si="68"/>
        <v>0</v>
      </c>
      <c r="V138" s="34">
        <f t="shared" si="68"/>
        <v>0</v>
      </c>
      <c r="W138" s="34">
        <f t="shared" si="68"/>
        <v>292834</v>
      </c>
    </row>
    <row r="139" spans="1:23" x14ac:dyDescent="0.25">
      <c r="A139" s="13">
        <v>2</v>
      </c>
      <c r="B139" s="13">
        <v>3</v>
      </c>
      <c r="C139" s="13">
        <v>5</v>
      </c>
      <c r="D139" s="13">
        <v>3</v>
      </c>
      <c r="E139" s="18" t="s">
        <v>29</v>
      </c>
      <c r="F139" s="9" t="s">
        <v>150</v>
      </c>
      <c r="G139" s="57">
        <f>10250*5</f>
        <v>51250</v>
      </c>
      <c r="H139" s="57"/>
      <c r="I139" s="57"/>
      <c r="J139" s="57">
        <f>20*9854.2+(2*1600)</f>
        <v>200284</v>
      </c>
      <c r="K139" s="57">
        <f>8260*5</f>
        <v>41300</v>
      </c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14">
        <f>SUM(G139:V139)</f>
        <v>292834</v>
      </c>
    </row>
    <row r="140" spans="1:23" x14ac:dyDescent="0.25">
      <c r="A140" s="2">
        <v>2</v>
      </c>
      <c r="B140" s="2">
        <v>3</v>
      </c>
      <c r="C140" s="2">
        <v>5</v>
      </c>
      <c r="D140" s="2">
        <v>5</v>
      </c>
      <c r="E140" s="2"/>
      <c r="F140" s="8" t="s">
        <v>151</v>
      </c>
      <c r="G140" s="34">
        <f>G141</f>
        <v>8560</v>
      </c>
      <c r="H140" s="34">
        <f t="shared" ref="H140:W140" si="69">H141</f>
        <v>0</v>
      </c>
      <c r="I140" s="34">
        <f t="shared" si="69"/>
        <v>0</v>
      </c>
      <c r="J140" s="34">
        <f t="shared" si="69"/>
        <v>5640</v>
      </c>
      <c r="K140" s="34">
        <f t="shared" si="69"/>
        <v>0</v>
      </c>
      <c r="L140" s="34">
        <f t="shared" si="69"/>
        <v>3250</v>
      </c>
      <c r="M140" s="34">
        <f t="shared" si="69"/>
        <v>0</v>
      </c>
      <c r="N140" s="34">
        <f t="shared" si="69"/>
        <v>5640</v>
      </c>
      <c r="O140" s="34">
        <f t="shared" si="69"/>
        <v>0</v>
      </c>
      <c r="P140" s="34">
        <f t="shared" si="69"/>
        <v>0</v>
      </c>
      <c r="Q140" s="34">
        <f t="shared" si="69"/>
        <v>0</v>
      </c>
      <c r="R140" s="34">
        <f t="shared" si="69"/>
        <v>3540</v>
      </c>
      <c r="S140" s="34">
        <f t="shared" si="69"/>
        <v>0</v>
      </c>
      <c r="T140" s="34">
        <f t="shared" si="69"/>
        <v>0</v>
      </c>
      <c r="U140" s="34">
        <f t="shared" si="69"/>
        <v>0</v>
      </c>
      <c r="V140" s="34">
        <f t="shared" si="69"/>
        <v>0</v>
      </c>
      <c r="W140" s="34">
        <f t="shared" si="69"/>
        <v>26630</v>
      </c>
    </row>
    <row r="141" spans="1:23" x14ac:dyDescent="0.25">
      <c r="A141" s="13">
        <v>2</v>
      </c>
      <c r="B141" s="13">
        <v>3</v>
      </c>
      <c r="C141" s="13">
        <v>5</v>
      </c>
      <c r="D141" s="13">
        <v>5</v>
      </c>
      <c r="E141" s="18" t="s">
        <v>29</v>
      </c>
      <c r="F141" s="9" t="s">
        <v>151</v>
      </c>
      <c r="G141" s="57">
        <v>8560</v>
      </c>
      <c r="H141" s="57"/>
      <c r="I141" s="57"/>
      <c r="J141" s="57">
        <v>5640</v>
      </c>
      <c r="K141" s="1"/>
      <c r="L141" s="57">
        <v>3250</v>
      </c>
      <c r="M141" s="57"/>
      <c r="N141" s="57">
        <v>5640</v>
      </c>
      <c r="O141" s="57"/>
      <c r="P141" s="57"/>
      <c r="Q141" s="57"/>
      <c r="R141" s="57">
        <v>3540</v>
      </c>
      <c r="S141" s="57"/>
      <c r="T141" s="57"/>
      <c r="U141" s="57"/>
      <c r="V141" s="57"/>
      <c r="W141" s="14">
        <f>SUM(G141:V141)</f>
        <v>26630</v>
      </c>
    </row>
    <row r="142" spans="1:23" x14ac:dyDescent="0.25">
      <c r="A142" s="3">
        <v>2</v>
      </c>
      <c r="B142" s="3">
        <v>3</v>
      </c>
      <c r="C142" s="3">
        <v>6</v>
      </c>
      <c r="D142" s="3"/>
      <c r="E142" s="3"/>
      <c r="F142" s="7" t="s">
        <v>152</v>
      </c>
      <c r="G142" s="4">
        <f>G143</f>
        <v>0</v>
      </c>
      <c r="H142" s="4">
        <f t="shared" ref="H142:W143" si="70">H143</f>
        <v>125890</v>
      </c>
      <c r="I142" s="4">
        <f t="shared" si="70"/>
        <v>0</v>
      </c>
      <c r="J142" s="4">
        <f t="shared" si="70"/>
        <v>56825</v>
      </c>
      <c r="K142" s="4">
        <f t="shared" si="70"/>
        <v>0</v>
      </c>
      <c r="L142" s="4">
        <f t="shared" si="70"/>
        <v>0</v>
      </c>
      <c r="M142" s="4">
        <f t="shared" si="70"/>
        <v>0</v>
      </c>
      <c r="N142" s="4">
        <f t="shared" si="70"/>
        <v>0</v>
      </c>
      <c r="O142" s="4">
        <f t="shared" si="70"/>
        <v>0</v>
      </c>
      <c r="P142" s="4">
        <f t="shared" si="70"/>
        <v>0</v>
      </c>
      <c r="Q142" s="4">
        <f t="shared" si="70"/>
        <v>0</v>
      </c>
      <c r="R142" s="4">
        <f t="shared" si="70"/>
        <v>0</v>
      </c>
      <c r="S142" s="4">
        <f t="shared" si="70"/>
        <v>0</v>
      </c>
      <c r="T142" s="4">
        <f t="shared" si="70"/>
        <v>0</v>
      </c>
      <c r="U142" s="4">
        <f t="shared" si="70"/>
        <v>0</v>
      </c>
      <c r="V142" s="4">
        <f t="shared" si="70"/>
        <v>21350</v>
      </c>
      <c r="W142" s="4">
        <f>W143</f>
        <v>204065</v>
      </c>
    </row>
    <row r="143" spans="1:23" x14ac:dyDescent="0.25">
      <c r="A143" s="2">
        <v>2</v>
      </c>
      <c r="B143" s="2">
        <v>3</v>
      </c>
      <c r="C143" s="2">
        <v>6</v>
      </c>
      <c r="D143" s="2">
        <v>3</v>
      </c>
      <c r="E143" s="2"/>
      <c r="F143" s="8" t="s">
        <v>153</v>
      </c>
      <c r="G143" s="34">
        <f>G144</f>
        <v>0</v>
      </c>
      <c r="H143" s="34">
        <f t="shared" si="70"/>
        <v>125890</v>
      </c>
      <c r="I143" s="34">
        <f t="shared" si="70"/>
        <v>0</v>
      </c>
      <c r="J143" s="34">
        <f t="shared" si="70"/>
        <v>56825</v>
      </c>
      <c r="K143" s="34">
        <f t="shared" si="70"/>
        <v>0</v>
      </c>
      <c r="L143" s="34">
        <f t="shared" si="70"/>
        <v>0</v>
      </c>
      <c r="M143" s="34">
        <f t="shared" si="70"/>
        <v>0</v>
      </c>
      <c r="N143" s="34">
        <f t="shared" si="70"/>
        <v>0</v>
      </c>
      <c r="O143" s="34">
        <f t="shared" si="70"/>
        <v>0</v>
      </c>
      <c r="P143" s="34">
        <f t="shared" si="70"/>
        <v>0</v>
      </c>
      <c r="Q143" s="34">
        <f t="shared" si="70"/>
        <v>0</v>
      </c>
      <c r="R143" s="34">
        <f t="shared" si="70"/>
        <v>0</v>
      </c>
      <c r="S143" s="34">
        <f t="shared" si="70"/>
        <v>0</v>
      </c>
      <c r="T143" s="34">
        <f t="shared" si="70"/>
        <v>0</v>
      </c>
      <c r="U143" s="34">
        <f t="shared" si="70"/>
        <v>0</v>
      </c>
      <c r="V143" s="34">
        <f t="shared" si="70"/>
        <v>21350</v>
      </c>
      <c r="W143" s="34">
        <f t="shared" si="70"/>
        <v>204065</v>
      </c>
    </row>
    <row r="144" spans="1:23" x14ac:dyDescent="0.25">
      <c r="A144" s="13">
        <v>2</v>
      </c>
      <c r="B144" s="13">
        <v>3</v>
      </c>
      <c r="C144" s="13">
        <v>6</v>
      </c>
      <c r="D144" s="13">
        <v>3</v>
      </c>
      <c r="E144" s="18" t="s">
        <v>31</v>
      </c>
      <c r="F144" s="9" t="s">
        <v>154</v>
      </c>
      <c r="G144" s="1"/>
      <c r="H144" s="57">
        <v>125890</v>
      </c>
      <c r="I144" s="57"/>
      <c r="J144" s="57">
        <v>56825</v>
      </c>
      <c r="K144" s="1"/>
      <c r="L144" s="1"/>
      <c r="M144" s="1"/>
      <c r="N144" s="1"/>
      <c r="O144" s="1"/>
      <c r="P144" s="1"/>
      <c r="Q144" s="1"/>
      <c r="R144" s="1"/>
      <c r="S144" s="57"/>
      <c r="T144" s="57"/>
      <c r="U144" s="57"/>
      <c r="V144" s="57">
        <v>21350</v>
      </c>
      <c r="W144" s="14">
        <f>SUM(G144:V144)</f>
        <v>204065</v>
      </c>
    </row>
    <row r="145" spans="1:24" x14ac:dyDescent="0.25">
      <c r="A145" s="3">
        <v>2</v>
      </c>
      <c r="B145" s="3">
        <v>3</v>
      </c>
      <c r="C145" s="3">
        <v>7</v>
      </c>
      <c r="D145" s="3"/>
      <c r="E145" s="3"/>
      <c r="F145" s="7" t="s">
        <v>155</v>
      </c>
      <c r="G145" s="4">
        <f t="shared" ref="G145:V145" si="71">G146+G151</f>
        <v>29676</v>
      </c>
      <c r="H145" s="4">
        <f t="shared" si="71"/>
        <v>0</v>
      </c>
      <c r="I145" s="4">
        <f t="shared" si="71"/>
        <v>0</v>
      </c>
      <c r="J145" s="4">
        <f t="shared" si="71"/>
        <v>29014</v>
      </c>
      <c r="K145" s="4">
        <f t="shared" si="71"/>
        <v>10000</v>
      </c>
      <c r="L145" s="4">
        <f t="shared" si="71"/>
        <v>6507</v>
      </c>
      <c r="M145" s="4">
        <f t="shared" si="71"/>
        <v>0</v>
      </c>
      <c r="N145" s="4">
        <f t="shared" si="71"/>
        <v>6507</v>
      </c>
      <c r="O145" s="4">
        <f t="shared" si="71"/>
        <v>1390710</v>
      </c>
      <c r="P145" s="4">
        <f t="shared" si="71"/>
        <v>0</v>
      </c>
      <c r="Q145" s="4">
        <f t="shared" si="71"/>
        <v>0</v>
      </c>
      <c r="R145" s="4">
        <f t="shared" si="71"/>
        <v>13014</v>
      </c>
      <c r="S145" s="4">
        <f t="shared" si="71"/>
        <v>0</v>
      </c>
      <c r="T145" s="4">
        <f t="shared" si="71"/>
        <v>4338</v>
      </c>
      <c r="U145" s="4">
        <f t="shared" si="71"/>
        <v>0</v>
      </c>
      <c r="V145" s="4">
        <f t="shared" si="71"/>
        <v>0</v>
      </c>
      <c r="W145" s="4">
        <f>W146+W151</f>
        <v>1489766</v>
      </c>
    </row>
    <row r="146" spans="1:24" x14ac:dyDescent="0.25">
      <c r="A146" s="2">
        <v>2</v>
      </c>
      <c r="B146" s="2">
        <v>3</v>
      </c>
      <c r="C146" s="2">
        <v>7</v>
      </c>
      <c r="D146" s="2">
        <v>1</v>
      </c>
      <c r="E146" s="2"/>
      <c r="F146" s="8" t="s">
        <v>156</v>
      </c>
      <c r="G146" s="34">
        <f t="shared" ref="G146:W146" si="72">SUM(G147:G150)</f>
        <v>29676</v>
      </c>
      <c r="H146" s="34">
        <f t="shared" si="72"/>
        <v>0</v>
      </c>
      <c r="I146" s="34">
        <f t="shared" si="72"/>
        <v>0</v>
      </c>
      <c r="J146" s="34">
        <f t="shared" si="72"/>
        <v>29014</v>
      </c>
      <c r="K146" s="34">
        <f t="shared" si="72"/>
        <v>10000</v>
      </c>
      <c r="L146" s="34">
        <f t="shared" si="72"/>
        <v>6507</v>
      </c>
      <c r="M146" s="34">
        <f t="shared" si="72"/>
        <v>0</v>
      </c>
      <c r="N146" s="34">
        <f t="shared" si="72"/>
        <v>6507</v>
      </c>
      <c r="O146" s="34">
        <f t="shared" si="72"/>
        <v>0</v>
      </c>
      <c r="P146" s="34">
        <f t="shared" si="72"/>
        <v>0</v>
      </c>
      <c r="Q146" s="34">
        <f t="shared" si="72"/>
        <v>0</v>
      </c>
      <c r="R146" s="34">
        <f t="shared" si="72"/>
        <v>13014</v>
      </c>
      <c r="S146" s="34">
        <f t="shared" si="72"/>
        <v>0</v>
      </c>
      <c r="T146" s="34">
        <f t="shared" si="72"/>
        <v>4338</v>
      </c>
      <c r="U146" s="34">
        <f t="shared" si="72"/>
        <v>0</v>
      </c>
      <c r="V146" s="34">
        <f t="shared" si="72"/>
        <v>0</v>
      </c>
      <c r="W146" s="34">
        <f t="shared" si="72"/>
        <v>99056</v>
      </c>
    </row>
    <row r="147" spans="1:24" x14ac:dyDescent="0.25">
      <c r="A147" s="13">
        <v>2</v>
      </c>
      <c r="B147" s="13">
        <v>3</v>
      </c>
      <c r="C147" s="13">
        <v>7</v>
      </c>
      <c r="D147" s="13">
        <v>1</v>
      </c>
      <c r="E147" s="18" t="s">
        <v>29</v>
      </c>
      <c r="F147" s="9" t="s">
        <v>157</v>
      </c>
      <c r="G147" s="1"/>
      <c r="H147" s="14"/>
      <c r="I147" s="14"/>
      <c r="J147" s="14"/>
      <c r="K147" s="1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>
        <f>SUM(G147:V147)</f>
        <v>0</v>
      </c>
    </row>
    <row r="148" spans="1:24" x14ac:dyDescent="0.25">
      <c r="A148" s="13">
        <v>2</v>
      </c>
      <c r="B148" s="13">
        <v>3</v>
      </c>
      <c r="C148" s="13">
        <v>7</v>
      </c>
      <c r="D148" s="13">
        <v>1</v>
      </c>
      <c r="E148" s="18" t="s">
        <v>49</v>
      </c>
      <c r="F148" s="9" t="s">
        <v>158</v>
      </c>
      <c r="G148" s="14"/>
      <c r="H148" s="1"/>
      <c r="I148" s="14"/>
      <c r="J148" s="14"/>
      <c r="K148" s="14"/>
      <c r="L148" s="14"/>
      <c r="M148" s="14"/>
      <c r="N148" s="14"/>
      <c r="O148" s="14"/>
      <c r="P148" s="1"/>
      <c r="Q148" s="14"/>
      <c r="R148" s="14"/>
      <c r="S148" s="1"/>
      <c r="T148" s="1"/>
      <c r="U148" s="1"/>
      <c r="V148" s="14"/>
      <c r="W148" s="14">
        <f t="shared" ref="W148:W150" si="73">SUM(G148:V148)</f>
        <v>0</v>
      </c>
    </row>
    <row r="149" spans="1:24" x14ac:dyDescent="0.25">
      <c r="A149" s="13">
        <v>2</v>
      </c>
      <c r="B149" s="13">
        <v>3</v>
      </c>
      <c r="C149" s="13">
        <v>7</v>
      </c>
      <c r="D149" s="13">
        <v>1</v>
      </c>
      <c r="E149" s="18" t="s">
        <v>31</v>
      </c>
      <c r="F149" s="9" t="s">
        <v>159</v>
      </c>
      <c r="G149" s="14">
        <f>15*144.6*4</f>
        <v>8676</v>
      </c>
      <c r="H149" s="1"/>
      <c r="I149" s="1"/>
      <c r="J149" s="14">
        <f>15*144.6*6</f>
        <v>13014</v>
      </c>
      <c r="K149" s="1"/>
      <c r="L149" s="14">
        <f>15*144.6*3</f>
        <v>6507</v>
      </c>
      <c r="M149" s="1"/>
      <c r="N149" s="14">
        <f>15*144.6*3</f>
        <v>6507</v>
      </c>
      <c r="O149" s="1"/>
      <c r="P149" s="1"/>
      <c r="Q149" s="1"/>
      <c r="R149" s="14">
        <f>15*144.6*6</f>
        <v>13014</v>
      </c>
      <c r="S149" s="1"/>
      <c r="T149" s="14">
        <f>15*144.6*2</f>
        <v>4338</v>
      </c>
      <c r="U149" s="14"/>
      <c r="V149" s="1"/>
      <c r="W149" s="14">
        <f t="shared" si="73"/>
        <v>52056</v>
      </c>
    </row>
    <row r="150" spans="1:24" x14ac:dyDescent="0.25">
      <c r="A150" s="13">
        <v>2</v>
      </c>
      <c r="B150" s="13">
        <v>3</v>
      </c>
      <c r="C150" s="13">
        <v>7</v>
      </c>
      <c r="D150" s="13">
        <v>1</v>
      </c>
      <c r="E150" s="18" t="s">
        <v>33</v>
      </c>
      <c r="F150" s="9" t="s">
        <v>160</v>
      </c>
      <c r="G150" s="14">
        <f>3500*6</f>
        <v>21000</v>
      </c>
      <c r="H150" s="1"/>
      <c r="I150" s="1"/>
      <c r="J150" s="14">
        <f>4000*4</f>
        <v>16000</v>
      </c>
      <c r="K150" s="14">
        <f>2500*4</f>
        <v>10000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4">
        <f t="shared" si="73"/>
        <v>47000</v>
      </c>
    </row>
    <row r="151" spans="1:24" x14ac:dyDescent="0.25">
      <c r="A151" s="2">
        <v>2</v>
      </c>
      <c r="B151" s="2">
        <v>3</v>
      </c>
      <c r="C151" s="2">
        <v>7</v>
      </c>
      <c r="D151" s="2">
        <v>2</v>
      </c>
      <c r="E151" s="2"/>
      <c r="F151" s="8" t="s">
        <v>161</v>
      </c>
      <c r="G151" s="34">
        <f>SUM(G152:G154)</f>
        <v>0</v>
      </c>
      <c r="H151" s="34">
        <f t="shared" ref="H151:W151" si="74">SUM(H152:H154)</f>
        <v>0</v>
      </c>
      <c r="I151" s="34">
        <f t="shared" si="74"/>
        <v>0</v>
      </c>
      <c r="J151" s="34">
        <f t="shared" si="74"/>
        <v>0</v>
      </c>
      <c r="K151" s="34">
        <f t="shared" si="74"/>
        <v>0</v>
      </c>
      <c r="L151" s="34">
        <f t="shared" si="74"/>
        <v>0</v>
      </c>
      <c r="M151" s="34">
        <f t="shared" si="74"/>
        <v>0</v>
      </c>
      <c r="N151" s="34">
        <f t="shared" si="74"/>
        <v>0</v>
      </c>
      <c r="O151" s="34">
        <f t="shared" si="74"/>
        <v>1390710</v>
      </c>
      <c r="P151" s="34">
        <f t="shared" si="74"/>
        <v>0</v>
      </c>
      <c r="Q151" s="34">
        <f t="shared" si="74"/>
        <v>0</v>
      </c>
      <c r="R151" s="34">
        <f t="shared" si="74"/>
        <v>0</v>
      </c>
      <c r="S151" s="34">
        <f t="shared" si="74"/>
        <v>0</v>
      </c>
      <c r="T151" s="34">
        <f t="shared" si="74"/>
        <v>0</v>
      </c>
      <c r="U151" s="34">
        <f t="shared" si="74"/>
        <v>0</v>
      </c>
      <c r="V151" s="34">
        <f t="shared" si="74"/>
        <v>0</v>
      </c>
      <c r="W151" s="34">
        <f t="shared" si="74"/>
        <v>1390710</v>
      </c>
    </row>
    <row r="152" spans="1:24" x14ac:dyDescent="0.25">
      <c r="A152" s="13">
        <v>2</v>
      </c>
      <c r="B152" s="13">
        <v>3</v>
      </c>
      <c r="C152" s="13">
        <v>7</v>
      </c>
      <c r="D152" s="13">
        <v>2</v>
      </c>
      <c r="E152" s="18" t="s">
        <v>31</v>
      </c>
      <c r="F152" s="9" t="s">
        <v>162</v>
      </c>
      <c r="G152" s="1"/>
      <c r="H152" s="1"/>
      <c r="I152" s="1"/>
      <c r="J152" s="1"/>
      <c r="K152" s="1"/>
      <c r="L152" s="1"/>
      <c r="M152" s="1"/>
      <c r="N152" s="1"/>
      <c r="O152" s="14">
        <f>100*3*3125</f>
        <v>937500</v>
      </c>
      <c r="P152" s="1"/>
      <c r="Q152" s="14"/>
      <c r="R152" s="1"/>
      <c r="S152" s="1"/>
      <c r="T152" s="1"/>
      <c r="U152" s="1"/>
      <c r="V152" s="1"/>
      <c r="W152" s="14">
        <f>SUM(G152:V152)</f>
        <v>937500</v>
      </c>
    </row>
    <row r="153" spans="1:24" x14ac:dyDescent="0.25">
      <c r="A153" s="13">
        <v>2</v>
      </c>
      <c r="B153" s="13">
        <v>3</v>
      </c>
      <c r="C153" s="13">
        <v>7</v>
      </c>
      <c r="D153" s="13">
        <v>2</v>
      </c>
      <c r="E153" s="18" t="s">
        <v>33</v>
      </c>
      <c r="F153" s="9" t="s">
        <v>163</v>
      </c>
      <c r="G153" s="1"/>
      <c r="H153" s="1"/>
      <c r="I153" s="1"/>
      <c r="J153" s="1"/>
      <c r="K153" s="1"/>
      <c r="L153" s="1"/>
      <c r="M153" s="1"/>
      <c r="N153" s="1"/>
      <c r="O153" s="14">
        <v>324650</v>
      </c>
      <c r="P153" s="1"/>
      <c r="Q153" s="14"/>
      <c r="R153" s="1"/>
      <c r="S153" s="1"/>
      <c r="T153" s="1"/>
      <c r="U153" s="1"/>
      <c r="V153" s="1"/>
      <c r="W153" s="14">
        <f>SUM(G153:V153)</f>
        <v>324650</v>
      </c>
    </row>
    <row r="154" spans="1:24" x14ac:dyDescent="0.25">
      <c r="A154" s="13">
        <v>2</v>
      </c>
      <c r="B154" s="13">
        <v>3</v>
      </c>
      <c r="C154" s="13">
        <v>7</v>
      </c>
      <c r="D154" s="13">
        <v>2</v>
      </c>
      <c r="E154" s="18" t="s">
        <v>164</v>
      </c>
      <c r="F154" s="9" t="s">
        <v>165</v>
      </c>
      <c r="G154" s="1"/>
      <c r="H154" s="1"/>
      <c r="I154" s="1"/>
      <c r="J154" s="1"/>
      <c r="K154" s="1"/>
      <c r="L154" s="1"/>
      <c r="M154" s="1"/>
      <c r="N154" s="1"/>
      <c r="O154" s="14">
        <v>128560</v>
      </c>
      <c r="P154" s="1"/>
      <c r="Q154" s="14"/>
      <c r="R154" s="1"/>
      <c r="S154" s="1"/>
      <c r="T154" s="1"/>
      <c r="U154" s="1"/>
      <c r="V154" s="1"/>
      <c r="W154" s="14">
        <f>SUM(G154:V154)</f>
        <v>128560</v>
      </c>
    </row>
    <row r="155" spans="1:24" x14ac:dyDescent="0.25">
      <c r="A155" s="3">
        <v>2</v>
      </c>
      <c r="B155" s="3">
        <v>3</v>
      </c>
      <c r="C155" s="3">
        <v>9</v>
      </c>
      <c r="D155" s="3"/>
      <c r="E155" s="3"/>
      <c r="F155" s="7" t="s">
        <v>166</v>
      </c>
      <c r="G155" s="4">
        <f>G156+G158+G160+G162</f>
        <v>50230</v>
      </c>
      <c r="H155" s="4">
        <f t="shared" ref="H155:W155" si="75">H156+H158+H160+H162</f>
        <v>0</v>
      </c>
      <c r="I155" s="4">
        <f t="shared" si="75"/>
        <v>0</v>
      </c>
      <c r="J155" s="4">
        <f t="shared" si="75"/>
        <v>4766895</v>
      </c>
      <c r="K155" s="4">
        <f t="shared" si="75"/>
        <v>0</v>
      </c>
      <c r="L155" s="4">
        <f t="shared" si="75"/>
        <v>6560</v>
      </c>
      <c r="M155" s="4">
        <f t="shared" si="75"/>
        <v>0</v>
      </c>
      <c r="N155" s="4">
        <f t="shared" si="75"/>
        <v>72560</v>
      </c>
      <c r="O155" s="4">
        <f t="shared" si="75"/>
        <v>0</v>
      </c>
      <c r="P155" s="4">
        <f t="shared" si="75"/>
        <v>0</v>
      </c>
      <c r="Q155" s="4">
        <f t="shared" si="75"/>
        <v>0</v>
      </c>
      <c r="R155" s="4">
        <f t="shared" si="75"/>
        <v>12564</v>
      </c>
      <c r="S155" s="4">
        <f t="shared" si="75"/>
        <v>425680</v>
      </c>
      <c r="T155" s="4">
        <f t="shared" si="75"/>
        <v>594415</v>
      </c>
      <c r="U155" s="4">
        <f t="shared" si="75"/>
        <v>0</v>
      </c>
      <c r="V155" s="4">
        <f t="shared" si="75"/>
        <v>0</v>
      </c>
      <c r="W155" s="4">
        <f t="shared" si="75"/>
        <v>5928904</v>
      </c>
      <c r="X155" s="78"/>
    </row>
    <row r="156" spans="1:24" x14ac:dyDescent="0.25">
      <c r="A156" s="61">
        <v>2</v>
      </c>
      <c r="B156" s="61">
        <v>3</v>
      </c>
      <c r="C156" s="61">
        <v>9</v>
      </c>
      <c r="D156" s="61">
        <v>1</v>
      </c>
      <c r="E156" s="61"/>
      <c r="F156" s="62" t="s">
        <v>167</v>
      </c>
      <c r="G156" s="34">
        <f>G157</f>
        <v>0</v>
      </c>
      <c r="H156" s="34">
        <f t="shared" ref="H156:W156" si="76">H157</f>
        <v>0</v>
      </c>
      <c r="I156" s="34">
        <f t="shared" si="76"/>
        <v>0</v>
      </c>
      <c r="J156" s="34">
        <f t="shared" si="76"/>
        <v>2598560</v>
      </c>
      <c r="K156" s="34">
        <f t="shared" si="76"/>
        <v>0</v>
      </c>
      <c r="L156" s="34">
        <f t="shared" si="76"/>
        <v>0</v>
      </c>
      <c r="M156" s="34">
        <f t="shared" si="76"/>
        <v>0</v>
      </c>
      <c r="N156" s="34">
        <f t="shared" si="76"/>
        <v>0</v>
      </c>
      <c r="O156" s="34">
        <f t="shared" si="76"/>
        <v>0</v>
      </c>
      <c r="P156" s="34">
        <f t="shared" si="76"/>
        <v>0</v>
      </c>
      <c r="Q156" s="34">
        <f t="shared" si="76"/>
        <v>0</v>
      </c>
      <c r="R156" s="34">
        <f t="shared" si="76"/>
        <v>0</v>
      </c>
      <c r="S156" s="34">
        <f t="shared" si="76"/>
        <v>0</v>
      </c>
      <c r="T156" s="34">
        <f t="shared" si="76"/>
        <v>0</v>
      </c>
      <c r="U156" s="34">
        <f t="shared" si="76"/>
        <v>0</v>
      </c>
      <c r="V156" s="34">
        <f t="shared" si="76"/>
        <v>0</v>
      </c>
      <c r="W156" s="34">
        <f t="shared" si="76"/>
        <v>2598560</v>
      </c>
    </row>
    <row r="157" spans="1:24" x14ac:dyDescent="0.25">
      <c r="A157" s="13">
        <v>2</v>
      </c>
      <c r="B157" s="13">
        <v>3</v>
      </c>
      <c r="C157" s="13">
        <v>9</v>
      </c>
      <c r="D157" s="13">
        <v>1</v>
      </c>
      <c r="E157" s="18" t="s">
        <v>29</v>
      </c>
      <c r="F157" s="9" t="s">
        <v>167</v>
      </c>
      <c r="G157" s="1"/>
      <c r="H157" s="1"/>
      <c r="I157" s="1"/>
      <c r="J157" s="14">
        <v>2598560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4">
        <f>SUM(G157:V157)</f>
        <v>2598560</v>
      </c>
    </row>
    <row r="158" spans="1:24" ht="28.5" x14ac:dyDescent="0.25">
      <c r="A158" s="63">
        <v>2</v>
      </c>
      <c r="B158" s="63">
        <v>3</v>
      </c>
      <c r="C158" s="63">
        <v>9</v>
      </c>
      <c r="D158" s="63">
        <v>4</v>
      </c>
      <c r="E158" s="63"/>
      <c r="F158" s="64" t="s">
        <v>168</v>
      </c>
      <c r="G158" s="34">
        <f>SUM(G159)</f>
        <v>0</v>
      </c>
      <c r="H158" s="34">
        <f t="shared" ref="H158:W158" si="77">SUM(H159)</f>
        <v>0</v>
      </c>
      <c r="I158" s="34">
        <f t="shared" si="77"/>
        <v>0</v>
      </c>
      <c r="J158" s="34">
        <f t="shared" si="77"/>
        <v>0</v>
      </c>
      <c r="K158" s="34">
        <f t="shared" si="77"/>
        <v>0</v>
      </c>
      <c r="L158" s="34">
        <f t="shared" si="77"/>
        <v>0</v>
      </c>
      <c r="M158" s="34">
        <f t="shared" si="77"/>
        <v>0</v>
      </c>
      <c r="N158" s="34">
        <f t="shared" si="77"/>
        <v>0</v>
      </c>
      <c r="O158" s="34">
        <f t="shared" si="77"/>
        <v>0</v>
      </c>
      <c r="P158" s="34">
        <f t="shared" si="77"/>
        <v>0</v>
      </c>
      <c r="Q158" s="34">
        <f t="shared" si="77"/>
        <v>0</v>
      </c>
      <c r="R158" s="34">
        <f t="shared" si="77"/>
        <v>0</v>
      </c>
      <c r="S158" s="34">
        <f t="shared" si="77"/>
        <v>0</v>
      </c>
      <c r="T158" s="34">
        <f t="shared" si="77"/>
        <v>589765</v>
      </c>
      <c r="U158" s="34">
        <f t="shared" si="77"/>
        <v>0</v>
      </c>
      <c r="V158" s="34">
        <f t="shared" si="77"/>
        <v>0</v>
      </c>
      <c r="W158" s="34">
        <f t="shared" si="77"/>
        <v>589765</v>
      </c>
    </row>
    <row r="159" spans="1:24" ht="30" x14ac:dyDescent="0.25">
      <c r="A159" s="11">
        <v>2</v>
      </c>
      <c r="B159" s="11">
        <v>3</v>
      </c>
      <c r="C159" s="11">
        <v>9</v>
      </c>
      <c r="D159" s="11">
        <v>4</v>
      </c>
      <c r="E159" s="20" t="s">
        <v>29</v>
      </c>
      <c r="F159" s="12" t="s">
        <v>168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4">
        <v>589765</v>
      </c>
      <c r="U159" s="14"/>
      <c r="V159" s="1"/>
      <c r="W159" s="14">
        <f>SUM(G159:V159)</f>
        <v>589765</v>
      </c>
    </row>
    <row r="160" spans="1:24" x14ac:dyDescent="0.25">
      <c r="A160" s="63">
        <v>2</v>
      </c>
      <c r="B160" s="63">
        <v>3</v>
      </c>
      <c r="C160" s="63">
        <v>9</v>
      </c>
      <c r="D160" s="63">
        <v>5</v>
      </c>
      <c r="E160" s="63"/>
      <c r="F160" s="63" t="s">
        <v>169</v>
      </c>
      <c r="G160" s="34">
        <f>G161</f>
        <v>50230</v>
      </c>
      <c r="H160" s="34">
        <f t="shared" ref="H160:W160" si="78">H161</f>
        <v>0</v>
      </c>
      <c r="I160" s="34">
        <f t="shared" si="78"/>
        <v>0</v>
      </c>
      <c r="J160" s="34">
        <f t="shared" si="78"/>
        <v>14650</v>
      </c>
      <c r="K160" s="34">
        <f t="shared" si="78"/>
        <v>0</v>
      </c>
      <c r="L160" s="34">
        <f t="shared" si="78"/>
        <v>6560</v>
      </c>
      <c r="M160" s="34">
        <f t="shared" si="78"/>
        <v>0</v>
      </c>
      <c r="N160" s="34">
        <f t="shared" si="78"/>
        <v>72560</v>
      </c>
      <c r="O160" s="34">
        <f t="shared" si="78"/>
        <v>0</v>
      </c>
      <c r="P160" s="34">
        <f t="shared" si="78"/>
        <v>0</v>
      </c>
      <c r="Q160" s="34">
        <f t="shared" si="78"/>
        <v>0</v>
      </c>
      <c r="R160" s="34">
        <f t="shared" si="78"/>
        <v>12564</v>
      </c>
      <c r="S160" s="34">
        <f t="shared" si="78"/>
        <v>0</v>
      </c>
      <c r="T160" s="34">
        <f t="shared" si="78"/>
        <v>4650</v>
      </c>
      <c r="U160" s="34">
        <f t="shared" si="78"/>
        <v>0</v>
      </c>
      <c r="V160" s="34">
        <f t="shared" si="78"/>
        <v>0</v>
      </c>
      <c r="W160" s="34">
        <f t="shared" si="78"/>
        <v>161214</v>
      </c>
    </row>
    <row r="161" spans="1:24" x14ac:dyDescent="0.25">
      <c r="A161" s="13">
        <v>2</v>
      </c>
      <c r="B161" s="13">
        <v>3</v>
      </c>
      <c r="C161" s="13">
        <v>9</v>
      </c>
      <c r="D161" s="13">
        <v>5</v>
      </c>
      <c r="E161" s="18" t="s">
        <v>29</v>
      </c>
      <c r="F161" s="1" t="s">
        <v>169</v>
      </c>
      <c r="G161" s="14">
        <v>50230</v>
      </c>
      <c r="H161" s="14"/>
      <c r="I161" s="14"/>
      <c r="J161" s="14">
        <v>14650</v>
      </c>
      <c r="K161" s="14"/>
      <c r="L161" s="14">
        <v>6560</v>
      </c>
      <c r="M161" s="14"/>
      <c r="N161" s="14">
        <v>72560</v>
      </c>
      <c r="O161" s="14"/>
      <c r="P161" s="14"/>
      <c r="Q161" s="14"/>
      <c r="R161" s="14">
        <v>12564</v>
      </c>
      <c r="S161" s="14"/>
      <c r="T161" s="14">
        <v>4650</v>
      </c>
      <c r="U161" s="14"/>
      <c r="V161" s="14"/>
      <c r="W161" s="14">
        <f>SUM(G161:V161)</f>
        <v>161214</v>
      </c>
    </row>
    <row r="162" spans="1:24" x14ac:dyDescent="0.25">
      <c r="A162" s="63">
        <v>2</v>
      </c>
      <c r="B162" s="63">
        <v>3</v>
      </c>
      <c r="C162" s="63">
        <v>9</v>
      </c>
      <c r="D162" s="63">
        <v>6</v>
      </c>
      <c r="E162" s="63"/>
      <c r="F162" s="61" t="s">
        <v>170</v>
      </c>
      <c r="G162" s="34">
        <f>G163</f>
        <v>0</v>
      </c>
      <c r="H162" s="34">
        <f t="shared" ref="H162:W162" si="79">H163</f>
        <v>0</v>
      </c>
      <c r="I162" s="34">
        <f t="shared" si="79"/>
        <v>0</v>
      </c>
      <c r="J162" s="34">
        <f t="shared" si="79"/>
        <v>2153685</v>
      </c>
      <c r="K162" s="34">
        <f t="shared" si="79"/>
        <v>0</v>
      </c>
      <c r="L162" s="34">
        <f t="shared" si="79"/>
        <v>0</v>
      </c>
      <c r="M162" s="34">
        <f t="shared" si="79"/>
        <v>0</v>
      </c>
      <c r="N162" s="34">
        <f t="shared" si="79"/>
        <v>0</v>
      </c>
      <c r="O162" s="34">
        <f t="shared" si="79"/>
        <v>0</v>
      </c>
      <c r="P162" s="34">
        <f t="shared" si="79"/>
        <v>0</v>
      </c>
      <c r="Q162" s="34">
        <f t="shared" si="79"/>
        <v>0</v>
      </c>
      <c r="R162" s="34">
        <f t="shared" si="79"/>
        <v>0</v>
      </c>
      <c r="S162" s="34">
        <f t="shared" si="79"/>
        <v>425680</v>
      </c>
      <c r="T162" s="34">
        <f t="shared" si="79"/>
        <v>0</v>
      </c>
      <c r="U162" s="34">
        <f t="shared" si="79"/>
        <v>0</v>
      </c>
      <c r="V162" s="34">
        <f t="shared" si="79"/>
        <v>0</v>
      </c>
      <c r="W162" s="34">
        <f t="shared" si="79"/>
        <v>2579365</v>
      </c>
    </row>
    <row r="163" spans="1:24" x14ac:dyDescent="0.25">
      <c r="A163" s="13">
        <v>2</v>
      </c>
      <c r="B163" s="13">
        <v>3</v>
      </c>
      <c r="C163" s="13">
        <v>9</v>
      </c>
      <c r="D163" s="13">
        <v>6</v>
      </c>
      <c r="E163" s="18" t="s">
        <v>29</v>
      </c>
      <c r="F163" s="1" t="s">
        <v>170</v>
      </c>
      <c r="G163" s="1"/>
      <c r="H163" s="1"/>
      <c r="I163" s="1"/>
      <c r="J163" s="14">
        <v>2153685</v>
      </c>
      <c r="K163" s="1"/>
      <c r="L163" s="1"/>
      <c r="M163" s="1"/>
      <c r="N163" s="1"/>
      <c r="O163" s="1"/>
      <c r="P163" s="1"/>
      <c r="Q163" s="1"/>
      <c r="R163" s="1"/>
      <c r="S163" s="14">
        <v>425680</v>
      </c>
      <c r="T163" s="1"/>
      <c r="U163" s="1"/>
      <c r="V163" s="1"/>
      <c r="W163" s="14">
        <f>SUM(G163:V163)</f>
        <v>2579365</v>
      </c>
    </row>
    <row r="164" spans="1:24" x14ac:dyDescent="0.25">
      <c r="A164" s="59">
        <v>2</v>
      </c>
      <c r="B164" s="59">
        <v>4</v>
      </c>
      <c r="C164" s="59"/>
      <c r="D164" s="59"/>
      <c r="E164" s="59"/>
      <c r="F164" s="75" t="s">
        <v>171</v>
      </c>
      <c r="G164" s="60">
        <f>G165</f>
        <v>3327774.25</v>
      </c>
      <c r="H164" s="60">
        <f t="shared" ref="H164:W164" si="80">H165</f>
        <v>0</v>
      </c>
      <c r="I164" s="60">
        <f t="shared" si="80"/>
        <v>0</v>
      </c>
      <c r="J164" s="60">
        <f t="shared" si="80"/>
        <v>0</v>
      </c>
      <c r="K164" s="60">
        <f t="shared" si="80"/>
        <v>1956985</v>
      </c>
      <c r="L164" s="60">
        <f t="shared" si="80"/>
        <v>0</v>
      </c>
      <c r="M164" s="60">
        <f t="shared" si="80"/>
        <v>0</v>
      </c>
      <c r="N164" s="60">
        <f t="shared" si="80"/>
        <v>0</v>
      </c>
      <c r="O164" s="60">
        <f t="shared" si="80"/>
        <v>0</v>
      </c>
      <c r="P164" s="60">
        <f t="shared" si="80"/>
        <v>0</v>
      </c>
      <c r="Q164" s="60">
        <f t="shared" si="80"/>
        <v>0</v>
      </c>
      <c r="R164" s="60">
        <f t="shared" si="80"/>
        <v>172740</v>
      </c>
      <c r="S164" s="60">
        <f t="shared" si="80"/>
        <v>0</v>
      </c>
      <c r="T164" s="60">
        <f t="shared" si="80"/>
        <v>0</v>
      </c>
      <c r="U164" s="60">
        <f t="shared" si="80"/>
        <v>0</v>
      </c>
      <c r="V164" s="60">
        <f t="shared" si="80"/>
        <v>0</v>
      </c>
      <c r="W164" s="60">
        <f t="shared" si="80"/>
        <v>5457499.25</v>
      </c>
      <c r="X164" s="78"/>
    </row>
    <row r="165" spans="1:24" x14ac:dyDescent="0.25">
      <c r="A165" s="3">
        <v>2</v>
      </c>
      <c r="B165" s="3">
        <v>4</v>
      </c>
      <c r="C165" s="3">
        <v>1</v>
      </c>
      <c r="D165" s="3"/>
      <c r="E165" s="3"/>
      <c r="F165" s="7" t="s">
        <v>172</v>
      </c>
      <c r="G165" s="4">
        <f t="shared" ref="G165:W165" si="81">G166+G171</f>
        <v>3327774.25</v>
      </c>
      <c r="H165" s="4">
        <f t="shared" si="81"/>
        <v>0</v>
      </c>
      <c r="I165" s="4">
        <f t="shared" si="81"/>
        <v>0</v>
      </c>
      <c r="J165" s="4">
        <f t="shared" si="81"/>
        <v>0</v>
      </c>
      <c r="K165" s="4">
        <f t="shared" si="81"/>
        <v>1956985</v>
      </c>
      <c r="L165" s="4">
        <f t="shared" si="81"/>
        <v>0</v>
      </c>
      <c r="M165" s="4">
        <f t="shared" si="81"/>
        <v>0</v>
      </c>
      <c r="N165" s="4">
        <f t="shared" si="81"/>
        <v>0</v>
      </c>
      <c r="O165" s="4">
        <f t="shared" si="81"/>
        <v>0</v>
      </c>
      <c r="P165" s="4">
        <f t="shared" si="81"/>
        <v>0</v>
      </c>
      <c r="Q165" s="4">
        <f t="shared" si="81"/>
        <v>0</v>
      </c>
      <c r="R165" s="4">
        <f t="shared" si="81"/>
        <v>172740</v>
      </c>
      <c r="S165" s="4">
        <f t="shared" si="81"/>
        <v>0</v>
      </c>
      <c r="T165" s="4">
        <f t="shared" si="81"/>
        <v>0</v>
      </c>
      <c r="U165" s="4">
        <f t="shared" si="81"/>
        <v>0</v>
      </c>
      <c r="V165" s="4">
        <f t="shared" si="81"/>
        <v>0</v>
      </c>
      <c r="W165" s="4">
        <f t="shared" si="81"/>
        <v>5457499.25</v>
      </c>
      <c r="X165" s="78"/>
    </row>
    <row r="166" spans="1:24" x14ac:dyDescent="0.25">
      <c r="A166" s="2">
        <v>2</v>
      </c>
      <c r="B166" s="2">
        <v>4</v>
      </c>
      <c r="C166" s="2">
        <v>1</v>
      </c>
      <c r="D166" s="2">
        <v>1</v>
      </c>
      <c r="E166" s="18"/>
      <c r="F166" s="8" t="s">
        <v>173</v>
      </c>
      <c r="G166" s="34">
        <f>SUM(G167:G170)</f>
        <v>177774.25</v>
      </c>
      <c r="H166" s="34">
        <f t="shared" ref="H166:W166" si="82">SUM(H167:H170)</f>
        <v>0</v>
      </c>
      <c r="I166" s="34">
        <f t="shared" si="82"/>
        <v>0</v>
      </c>
      <c r="J166" s="34">
        <f t="shared" si="82"/>
        <v>0</v>
      </c>
      <c r="K166" s="34">
        <f t="shared" si="82"/>
        <v>0</v>
      </c>
      <c r="L166" s="34">
        <f t="shared" si="82"/>
        <v>0</v>
      </c>
      <c r="M166" s="34">
        <f t="shared" si="82"/>
        <v>0</v>
      </c>
      <c r="N166" s="34">
        <f t="shared" si="82"/>
        <v>0</v>
      </c>
      <c r="O166" s="34">
        <f t="shared" si="82"/>
        <v>0</v>
      </c>
      <c r="P166" s="34">
        <f t="shared" si="82"/>
        <v>0</v>
      </c>
      <c r="Q166" s="34">
        <f t="shared" si="82"/>
        <v>0</v>
      </c>
      <c r="R166" s="34">
        <f t="shared" si="82"/>
        <v>172740</v>
      </c>
      <c r="S166" s="34">
        <f t="shared" si="82"/>
        <v>0</v>
      </c>
      <c r="T166" s="34">
        <f t="shared" si="82"/>
        <v>0</v>
      </c>
      <c r="U166" s="34">
        <f t="shared" si="82"/>
        <v>0</v>
      </c>
      <c r="V166" s="34">
        <f t="shared" si="82"/>
        <v>0</v>
      </c>
      <c r="W166" s="34">
        <f t="shared" si="82"/>
        <v>350514.25</v>
      </c>
    </row>
    <row r="167" spans="1:24" x14ac:dyDescent="0.25">
      <c r="A167" s="13">
        <v>2</v>
      </c>
      <c r="B167" s="13">
        <v>4</v>
      </c>
      <c r="C167" s="13">
        <v>1</v>
      </c>
      <c r="D167" s="13">
        <v>1</v>
      </c>
      <c r="E167" s="18" t="s">
        <v>29</v>
      </c>
      <c r="F167" s="9" t="s">
        <v>174</v>
      </c>
      <c r="G167" s="14">
        <v>100000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4">
        <f>SUM(G167:V167)</f>
        <v>100000</v>
      </c>
    </row>
    <row r="168" spans="1:24" x14ac:dyDescent="0.25">
      <c r="A168" s="13">
        <v>2</v>
      </c>
      <c r="B168" s="13">
        <v>4</v>
      </c>
      <c r="C168" s="13">
        <v>1</v>
      </c>
      <c r="D168" s="13">
        <v>1</v>
      </c>
      <c r="E168" s="18" t="s">
        <v>49</v>
      </c>
      <c r="F168" s="9" t="s">
        <v>175</v>
      </c>
      <c r="G168" s="14">
        <v>6000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4">
        <f t="shared" ref="W168:W170" si="83">SUM(G168:V168)</f>
        <v>6000</v>
      </c>
    </row>
    <row r="169" spans="1:24" x14ac:dyDescent="0.25">
      <c r="A169" s="13">
        <v>2</v>
      </c>
      <c r="B169" s="13">
        <v>4</v>
      </c>
      <c r="C169" s="13">
        <v>1</v>
      </c>
      <c r="D169" s="13">
        <v>1</v>
      </c>
      <c r="E169" s="18" t="s">
        <v>52</v>
      </c>
      <c r="F169" s="10" t="s">
        <v>176</v>
      </c>
      <c r="G169" s="1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4">
        <v>172740</v>
      </c>
      <c r="S169" s="1"/>
      <c r="T169" s="1"/>
      <c r="U169" s="1"/>
      <c r="V169" s="1"/>
      <c r="W169" s="14">
        <f t="shared" si="83"/>
        <v>172740</v>
      </c>
    </row>
    <row r="170" spans="1:24" x14ac:dyDescent="0.25">
      <c r="A170" s="13">
        <v>2</v>
      </c>
      <c r="B170" s="13">
        <v>4</v>
      </c>
      <c r="C170" s="13">
        <v>1</v>
      </c>
      <c r="D170" s="13">
        <v>1</v>
      </c>
      <c r="E170" s="18" t="s">
        <v>31</v>
      </c>
      <c r="F170" s="9" t="s">
        <v>177</v>
      </c>
      <c r="G170" s="1">
        <v>71774.25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4">
        <f t="shared" si="83"/>
        <v>71774.25</v>
      </c>
    </row>
    <row r="171" spans="1:24" x14ac:dyDescent="0.25">
      <c r="A171" s="2">
        <v>2</v>
      </c>
      <c r="B171" s="2">
        <v>4</v>
      </c>
      <c r="C171" s="2">
        <v>1</v>
      </c>
      <c r="D171" s="2">
        <v>4</v>
      </c>
      <c r="E171" s="2"/>
      <c r="F171" s="8" t="s">
        <v>178</v>
      </c>
      <c r="G171" s="34">
        <f>SUM(G172:G173)</f>
        <v>3150000</v>
      </c>
      <c r="H171" s="34">
        <f>SUM(H172:H173)</f>
        <v>0</v>
      </c>
      <c r="I171" s="34"/>
      <c r="J171" s="34">
        <f t="shared" ref="J171:W171" si="84">SUM(J172:J173)</f>
        <v>0</v>
      </c>
      <c r="K171" s="34">
        <f t="shared" si="84"/>
        <v>1956985</v>
      </c>
      <c r="L171" s="34">
        <f t="shared" si="84"/>
        <v>0</v>
      </c>
      <c r="M171" s="34">
        <f>SUM(M172:M173)</f>
        <v>0</v>
      </c>
      <c r="N171" s="34">
        <f t="shared" si="84"/>
        <v>0</v>
      </c>
      <c r="O171" s="34">
        <f t="shared" si="84"/>
        <v>0</v>
      </c>
      <c r="P171" s="34">
        <f>SUM(P172:P173)</f>
        <v>0</v>
      </c>
      <c r="Q171" s="34"/>
      <c r="R171" s="34">
        <f t="shared" si="84"/>
        <v>0</v>
      </c>
      <c r="S171" s="34">
        <f>SUM(S172:S173)</f>
        <v>0</v>
      </c>
      <c r="T171" s="34">
        <f>SUM(T172:T173)</f>
        <v>0</v>
      </c>
      <c r="U171" s="34"/>
      <c r="V171" s="34">
        <f t="shared" si="84"/>
        <v>0</v>
      </c>
      <c r="W171" s="34">
        <f t="shared" si="84"/>
        <v>5106985</v>
      </c>
    </row>
    <row r="172" spans="1:24" x14ac:dyDescent="0.25">
      <c r="A172" s="13">
        <v>2</v>
      </c>
      <c r="B172" s="13">
        <v>4</v>
      </c>
      <c r="C172" s="13">
        <v>1</v>
      </c>
      <c r="D172" s="13">
        <v>4</v>
      </c>
      <c r="E172" s="18" t="s">
        <v>29</v>
      </c>
      <c r="F172" s="9" t="s">
        <v>179</v>
      </c>
      <c r="G172" s="14">
        <v>2500000</v>
      </c>
      <c r="H172" s="1"/>
      <c r="I172" s="1"/>
      <c r="J172" s="1"/>
      <c r="K172" s="14">
        <v>1500000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4">
        <f>SUM(G172:V172)</f>
        <v>4000000</v>
      </c>
    </row>
    <row r="173" spans="1:24" x14ac:dyDescent="0.25">
      <c r="A173" s="13">
        <v>2</v>
      </c>
      <c r="B173" s="13">
        <v>4</v>
      </c>
      <c r="C173" s="13">
        <v>1</v>
      </c>
      <c r="D173" s="13">
        <v>4</v>
      </c>
      <c r="E173" s="18" t="s">
        <v>49</v>
      </c>
      <c r="F173" s="9" t="s">
        <v>180</v>
      </c>
      <c r="G173" s="14">
        <v>650000</v>
      </c>
      <c r="H173" s="1"/>
      <c r="I173" s="1"/>
      <c r="J173" s="1"/>
      <c r="K173" s="14">
        <v>456985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4">
        <f>SUM(G173:V173)</f>
        <v>1106985</v>
      </c>
    </row>
    <row r="174" spans="1:24" x14ac:dyDescent="0.25">
      <c r="A174" s="59">
        <v>2</v>
      </c>
      <c r="B174" s="59">
        <v>6</v>
      </c>
      <c r="C174" s="59"/>
      <c r="D174" s="59"/>
      <c r="E174" s="59"/>
      <c r="F174" s="65" t="s">
        <v>181</v>
      </c>
      <c r="G174" s="60">
        <f>+G175+G180+G187+G194+G199+G210</f>
        <v>6090790</v>
      </c>
      <c r="H174" s="60">
        <f t="shared" ref="H174:V174" si="85">+H175+H180+H187+H194+H199+H210</f>
        <v>4335398</v>
      </c>
      <c r="I174" s="60">
        <f t="shared" si="85"/>
        <v>1256023</v>
      </c>
      <c r="J174" s="60">
        <f t="shared" si="85"/>
        <v>1633418.56</v>
      </c>
      <c r="K174" s="60">
        <f t="shared" si="85"/>
        <v>986640</v>
      </c>
      <c r="L174" s="60">
        <f t="shared" si="85"/>
        <v>1028316</v>
      </c>
      <c r="M174" s="60">
        <f t="shared" si="85"/>
        <v>813570</v>
      </c>
      <c r="N174" s="60">
        <f t="shared" si="85"/>
        <v>6445966</v>
      </c>
      <c r="O174" s="60">
        <f t="shared" si="85"/>
        <v>17400848.18</v>
      </c>
      <c r="P174" s="60">
        <f t="shared" si="85"/>
        <v>0</v>
      </c>
      <c r="Q174" s="60">
        <f t="shared" si="85"/>
        <v>895612</v>
      </c>
      <c r="R174" s="60">
        <f t="shared" si="85"/>
        <v>4284610</v>
      </c>
      <c r="S174" s="60">
        <f t="shared" si="85"/>
        <v>10237007</v>
      </c>
      <c r="T174" s="60">
        <f t="shared" si="85"/>
        <v>1517684</v>
      </c>
      <c r="U174" s="60">
        <f t="shared" si="85"/>
        <v>446923</v>
      </c>
      <c r="V174" s="60">
        <f t="shared" si="85"/>
        <v>5060206.5</v>
      </c>
      <c r="W174" s="60">
        <f>SUM(G174:V174)</f>
        <v>62433012.240000002</v>
      </c>
      <c r="X174" s="78"/>
    </row>
    <row r="175" spans="1:24" x14ac:dyDescent="0.25">
      <c r="A175" s="3">
        <v>2</v>
      </c>
      <c r="B175" s="3">
        <v>6</v>
      </c>
      <c r="C175" s="3">
        <v>1</v>
      </c>
      <c r="D175" s="3"/>
      <c r="E175" s="3"/>
      <c r="F175" s="7" t="s">
        <v>182</v>
      </c>
      <c r="G175" s="4">
        <f>G176+G178</f>
        <v>850000</v>
      </c>
      <c r="H175" s="4">
        <f t="shared" ref="H175:W175" si="86">H176+H178</f>
        <v>3428458</v>
      </c>
      <c r="I175" s="4">
        <f t="shared" si="86"/>
        <v>1256023</v>
      </c>
      <c r="J175" s="4">
        <f t="shared" si="86"/>
        <v>781296</v>
      </c>
      <c r="K175" s="4">
        <f t="shared" si="86"/>
        <v>258890</v>
      </c>
      <c r="L175" s="4">
        <f t="shared" si="86"/>
        <v>982496</v>
      </c>
      <c r="M175" s="4">
        <f t="shared" si="86"/>
        <v>340990</v>
      </c>
      <c r="N175" s="4">
        <f t="shared" si="86"/>
        <v>784626</v>
      </c>
      <c r="O175" s="4">
        <f t="shared" si="86"/>
        <v>3848151</v>
      </c>
      <c r="P175" s="4">
        <f t="shared" si="86"/>
        <v>0</v>
      </c>
      <c r="Q175" s="4">
        <f t="shared" si="86"/>
        <v>895612</v>
      </c>
      <c r="R175" s="4">
        <f t="shared" si="86"/>
        <v>4258960</v>
      </c>
      <c r="S175" s="4">
        <f t="shared" si="86"/>
        <v>665313</v>
      </c>
      <c r="T175" s="4">
        <f t="shared" si="86"/>
        <v>228414</v>
      </c>
      <c r="U175" s="4">
        <f t="shared" si="86"/>
        <v>446923</v>
      </c>
      <c r="V175" s="4">
        <f t="shared" si="86"/>
        <v>332478</v>
      </c>
      <c r="W175" s="4">
        <f t="shared" si="86"/>
        <v>19358630</v>
      </c>
      <c r="X175" s="78"/>
    </row>
    <row r="176" spans="1:24" x14ac:dyDescent="0.25">
      <c r="A176" s="2">
        <v>2</v>
      </c>
      <c r="B176" s="2">
        <v>6</v>
      </c>
      <c r="C176" s="2">
        <v>1</v>
      </c>
      <c r="D176" s="2">
        <v>1</v>
      </c>
      <c r="E176" s="2"/>
      <c r="F176" s="8" t="s">
        <v>183</v>
      </c>
      <c r="G176" s="34">
        <f>G177</f>
        <v>0</v>
      </c>
      <c r="H176" s="34">
        <f t="shared" ref="H176:W176" si="87">H177</f>
        <v>775000</v>
      </c>
      <c r="I176" s="34">
        <f t="shared" si="87"/>
        <v>0</v>
      </c>
      <c r="J176" s="34">
        <f t="shared" si="87"/>
        <v>21654</v>
      </c>
      <c r="K176" s="34">
        <f t="shared" si="87"/>
        <v>8654</v>
      </c>
      <c r="L176" s="34">
        <f t="shared" si="87"/>
        <v>25651</v>
      </c>
      <c r="M176" s="34">
        <f t="shared" si="87"/>
        <v>215360</v>
      </c>
      <c r="N176" s="34">
        <f t="shared" si="87"/>
        <v>525680</v>
      </c>
      <c r="O176" s="34">
        <f t="shared" si="87"/>
        <v>258691</v>
      </c>
      <c r="P176" s="34">
        <f t="shared" si="87"/>
        <v>0</v>
      </c>
      <c r="Q176" s="34">
        <f t="shared" si="87"/>
        <v>0</v>
      </c>
      <c r="R176" s="34">
        <f t="shared" si="87"/>
        <v>3000000</v>
      </c>
      <c r="S176" s="34">
        <f t="shared" si="87"/>
        <v>6589</v>
      </c>
      <c r="T176" s="34">
        <f t="shared" si="87"/>
        <v>12568</v>
      </c>
      <c r="U176" s="34">
        <f t="shared" si="87"/>
        <v>0</v>
      </c>
      <c r="V176" s="34">
        <f t="shared" si="87"/>
        <v>6587</v>
      </c>
      <c r="W176" s="34">
        <f t="shared" si="87"/>
        <v>4856434</v>
      </c>
    </row>
    <row r="177" spans="1:25" x14ac:dyDescent="0.25">
      <c r="A177" s="13">
        <v>2</v>
      </c>
      <c r="B177" s="13">
        <v>6</v>
      </c>
      <c r="C177" s="13">
        <v>1</v>
      </c>
      <c r="D177" s="13">
        <v>1</v>
      </c>
      <c r="E177" s="18" t="s">
        <v>29</v>
      </c>
      <c r="F177" s="9" t="s">
        <v>183</v>
      </c>
      <c r="G177" s="14"/>
      <c r="H177" s="14">
        <v>775000</v>
      </c>
      <c r="I177" s="14"/>
      <c r="J177" s="14">
        <v>21654</v>
      </c>
      <c r="K177" s="14">
        <v>8654</v>
      </c>
      <c r="L177" s="14">
        <v>25651</v>
      </c>
      <c r="M177" s="14">
        <v>215360</v>
      </c>
      <c r="N177" s="14">
        <v>525680</v>
      </c>
      <c r="O177" s="14">
        <v>258691</v>
      </c>
      <c r="P177" s="14"/>
      <c r="Q177" s="14"/>
      <c r="R177" s="14">
        <v>3000000</v>
      </c>
      <c r="S177" s="14">
        <v>6589</v>
      </c>
      <c r="T177" s="14">
        <v>12568</v>
      </c>
      <c r="U177" s="14"/>
      <c r="V177" s="14">
        <v>6587</v>
      </c>
      <c r="W177" s="14">
        <f>SUM(G177:V177)</f>
        <v>4856434</v>
      </c>
    </row>
    <row r="178" spans="1:25" x14ac:dyDescent="0.25">
      <c r="A178" s="2">
        <v>2</v>
      </c>
      <c r="B178" s="2">
        <v>6</v>
      </c>
      <c r="C178" s="2">
        <v>3</v>
      </c>
      <c r="D178" s="2"/>
      <c r="E178" s="2"/>
      <c r="F178" s="66" t="s">
        <v>184</v>
      </c>
      <c r="G178" s="34">
        <f>G179</f>
        <v>850000</v>
      </c>
      <c r="H178" s="34">
        <f t="shared" ref="H178:W178" si="88">H179</f>
        <v>2653458</v>
      </c>
      <c r="I178" s="34">
        <f t="shared" si="88"/>
        <v>1256023</v>
      </c>
      <c r="J178" s="34">
        <f t="shared" si="88"/>
        <v>759642</v>
      </c>
      <c r="K178" s="34">
        <f t="shared" si="88"/>
        <v>250236</v>
      </c>
      <c r="L178" s="34">
        <f t="shared" si="88"/>
        <v>956845</v>
      </c>
      <c r="M178" s="34">
        <f t="shared" si="88"/>
        <v>125630</v>
      </c>
      <c r="N178" s="34">
        <f t="shared" si="88"/>
        <v>258946</v>
      </c>
      <c r="O178" s="34">
        <f t="shared" si="88"/>
        <v>3589460</v>
      </c>
      <c r="P178" s="34">
        <f t="shared" si="88"/>
        <v>0</v>
      </c>
      <c r="Q178" s="34">
        <f t="shared" si="88"/>
        <v>895612</v>
      </c>
      <c r="R178" s="34">
        <f t="shared" si="88"/>
        <v>1258960</v>
      </c>
      <c r="S178" s="34">
        <f t="shared" si="88"/>
        <v>658724</v>
      </c>
      <c r="T178" s="34">
        <f t="shared" si="88"/>
        <v>215846</v>
      </c>
      <c r="U178" s="34">
        <f t="shared" si="88"/>
        <v>446923</v>
      </c>
      <c r="V178" s="34">
        <f t="shared" si="88"/>
        <v>325891</v>
      </c>
      <c r="W178" s="34">
        <f t="shared" si="88"/>
        <v>14502196</v>
      </c>
    </row>
    <row r="179" spans="1:25" x14ac:dyDescent="0.25">
      <c r="A179" s="13">
        <v>2</v>
      </c>
      <c r="B179" s="13">
        <v>6</v>
      </c>
      <c r="C179" s="13">
        <v>3</v>
      </c>
      <c r="D179" s="13">
        <v>1</v>
      </c>
      <c r="E179" s="18" t="s">
        <v>29</v>
      </c>
      <c r="F179" s="10" t="s">
        <v>184</v>
      </c>
      <c r="G179" s="14">
        <v>850000</v>
      </c>
      <c r="H179" s="14">
        <v>2653458</v>
      </c>
      <c r="I179" s="14">
        <v>1256023</v>
      </c>
      <c r="J179" s="14">
        <v>759642</v>
      </c>
      <c r="K179" s="14">
        <v>250236</v>
      </c>
      <c r="L179" s="14">
        <v>956845</v>
      </c>
      <c r="M179" s="14">
        <v>125630</v>
      </c>
      <c r="N179" s="14">
        <v>258946</v>
      </c>
      <c r="O179" s="14">
        <v>3589460</v>
      </c>
      <c r="P179" s="14"/>
      <c r="Q179" s="14">
        <v>895612</v>
      </c>
      <c r="R179" s="14">
        <v>1258960</v>
      </c>
      <c r="S179" s="14">
        <v>658724</v>
      </c>
      <c r="T179" s="14">
        <v>215846</v>
      </c>
      <c r="U179" s="14">
        <v>446923</v>
      </c>
      <c r="V179" s="14">
        <v>325891</v>
      </c>
      <c r="W179" s="14">
        <f>SUM(G179:V179)</f>
        <v>14502196</v>
      </c>
      <c r="X179" s="78">
        <f>W174+W217</f>
        <v>276003622.77749997</v>
      </c>
    </row>
    <row r="180" spans="1:25" ht="28.5" x14ac:dyDescent="0.25">
      <c r="A180" s="53">
        <v>2</v>
      </c>
      <c r="B180" s="53">
        <v>6</v>
      </c>
      <c r="C180" s="53">
        <v>2</v>
      </c>
      <c r="D180" s="53">
        <v>1</v>
      </c>
      <c r="E180" s="53"/>
      <c r="F180" s="54" t="s">
        <v>185</v>
      </c>
      <c r="G180" s="48">
        <f>G181+G183+G185</f>
        <v>715440</v>
      </c>
      <c r="H180" s="48">
        <f t="shared" ref="H180:W180" si="89">H181+H183+H185</f>
        <v>0</v>
      </c>
      <c r="I180" s="48">
        <f t="shared" si="89"/>
        <v>0</v>
      </c>
      <c r="J180" s="48">
        <f t="shared" si="89"/>
        <v>0</v>
      </c>
      <c r="K180" s="48">
        <f t="shared" si="89"/>
        <v>695210</v>
      </c>
      <c r="L180" s="48">
        <f t="shared" si="89"/>
        <v>0</v>
      </c>
      <c r="M180" s="48">
        <f t="shared" si="89"/>
        <v>0</v>
      </c>
      <c r="N180" s="48">
        <f t="shared" si="89"/>
        <v>0</v>
      </c>
      <c r="O180" s="48">
        <f t="shared" si="89"/>
        <v>0</v>
      </c>
      <c r="P180" s="48">
        <f t="shared" si="89"/>
        <v>0</v>
      </c>
      <c r="Q180" s="48">
        <f t="shared" si="89"/>
        <v>0</v>
      </c>
      <c r="R180" s="48">
        <f t="shared" si="89"/>
        <v>0</v>
      </c>
      <c r="S180" s="48">
        <f t="shared" si="89"/>
        <v>0</v>
      </c>
      <c r="T180" s="48">
        <f t="shared" si="89"/>
        <v>1255620</v>
      </c>
      <c r="U180" s="48">
        <f t="shared" si="89"/>
        <v>0</v>
      </c>
      <c r="V180" s="48">
        <f t="shared" si="89"/>
        <v>825623</v>
      </c>
      <c r="W180" s="48">
        <f t="shared" si="89"/>
        <v>3491893</v>
      </c>
      <c r="X180" s="78"/>
    </row>
    <row r="181" spans="1:25" x14ac:dyDescent="0.25">
      <c r="A181" s="2">
        <v>2</v>
      </c>
      <c r="B181" s="2">
        <v>6</v>
      </c>
      <c r="C181" s="2">
        <v>2</v>
      </c>
      <c r="D181" s="2">
        <v>1</v>
      </c>
      <c r="E181" s="2"/>
      <c r="F181" s="8" t="s">
        <v>186</v>
      </c>
      <c r="G181" s="34">
        <f>G182</f>
        <v>258620</v>
      </c>
      <c r="H181" s="34">
        <f t="shared" ref="H181:W181" si="90">H182</f>
        <v>0</v>
      </c>
      <c r="I181" s="34">
        <f t="shared" si="90"/>
        <v>0</v>
      </c>
      <c r="J181" s="34">
        <f t="shared" si="90"/>
        <v>0</v>
      </c>
      <c r="K181" s="34">
        <f t="shared" si="90"/>
        <v>695210</v>
      </c>
      <c r="L181" s="34">
        <f t="shared" si="90"/>
        <v>0</v>
      </c>
      <c r="M181" s="34">
        <f t="shared" si="90"/>
        <v>0</v>
      </c>
      <c r="N181" s="34">
        <f t="shared" si="90"/>
        <v>0</v>
      </c>
      <c r="O181" s="34">
        <f t="shared" si="90"/>
        <v>0</v>
      </c>
      <c r="P181" s="34">
        <f t="shared" si="90"/>
        <v>0</v>
      </c>
      <c r="Q181" s="34">
        <f t="shared" si="90"/>
        <v>0</v>
      </c>
      <c r="R181" s="34">
        <f t="shared" si="90"/>
        <v>0</v>
      </c>
      <c r="S181" s="34">
        <f t="shared" si="90"/>
        <v>0</v>
      </c>
      <c r="T181" s="34">
        <f t="shared" si="90"/>
        <v>0</v>
      </c>
      <c r="U181" s="34">
        <f t="shared" si="90"/>
        <v>0</v>
      </c>
      <c r="V181" s="34">
        <f t="shared" si="90"/>
        <v>825623</v>
      </c>
      <c r="W181" s="34">
        <f t="shared" si="90"/>
        <v>1779453</v>
      </c>
    </row>
    <row r="182" spans="1:25" x14ac:dyDescent="0.25">
      <c r="A182" s="13">
        <v>2</v>
      </c>
      <c r="B182" s="13">
        <v>6</v>
      </c>
      <c r="C182" s="13">
        <v>2</v>
      </c>
      <c r="D182" s="13">
        <v>1</v>
      </c>
      <c r="E182" s="18" t="s">
        <v>29</v>
      </c>
      <c r="F182" s="9" t="s">
        <v>186</v>
      </c>
      <c r="G182" s="14">
        <v>258620</v>
      </c>
      <c r="H182" s="1"/>
      <c r="I182" s="14"/>
      <c r="J182" s="1"/>
      <c r="K182" s="14">
        <v>695210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4">
        <v>825623</v>
      </c>
      <c r="W182" s="14">
        <f>SUM(G182:V182)</f>
        <v>1779453</v>
      </c>
    </row>
    <row r="183" spans="1:25" x14ac:dyDescent="0.25">
      <c r="A183" s="2">
        <v>2</v>
      </c>
      <c r="B183" s="2">
        <v>6</v>
      </c>
      <c r="C183" s="2">
        <v>2</v>
      </c>
      <c r="D183" s="2">
        <v>2</v>
      </c>
      <c r="E183" s="2"/>
      <c r="F183" s="8" t="s">
        <v>187</v>
      </c>
      <c r="G183" s="34">
        <f>G184</f>
        <v>0</v>
      </c>
      <c r="H183" s="34">
        <f t="shared" ref="H183:V183" si="91">H184</f>
        <v>0</v>
      </c>
      <c r="I183" s="34">
        <f t="shared" si="91"/>
        <v>0</v>
      </c>
      <c r="J183" s="34">
        <f t="shared" si="91"/>
        <v>0</v>
      </c>
      <c r="K183" s="34">
        <f t="shared" si="91"/>
        <v>0</v>
      </c>
      <c r="L183" s="34">
        <f t="shared" si="91"/>
        <v>0</v>
      </c>
      <c r="M183" s="34">
        <f t="shared" si="91"/>
        <v>0</v>
      </c>
      <c r="N183" s="34">
        <f t="shared" si="91"/>
        <v>0</v>
      </c>
      <c r="O183" s="34">
        <f t="shared" si="91"/>
        <v>0</v>
      </c>
      <c r="P183" s="34">
        <f t="shared" si="91"/>
        <v>0</v>
      </c>
      <c r="Q183" s="34">
        <f t="shared" si="91"/>
        <v>0</v>
      </c>
      <c r="R183" s="34">
        <f t="shared" si="91"/>
        <v>0</v>
      </c>
      <c r="S183" s="34">
        <f t="shared" si="91"/>
        <v>0</v>
      </c>
      <c r="T183" s="34">
        <f t="shared" si="91"/>
        <v>1255620</v>
      </c>
      <c r="U183" s="34">
        <f t="shared" si="91"/>
        <v>0</v>
      </c>
      <c r="V183" s="34">
        <f t="shared" si="91"/>
        <v>0</v>
      </c>
      <c r="W183" s="34">
        <f>W184</f>
        <v>1255620</v>
      </c>
    </row>
    <row r="184" spans="1:25" x14ac:dyDescent="0.25">
      <c r="A184" s="13">
        <v>2</v>
      </c>
      <c r="B184" s="13">
        <v>6</v>
      </c>
      <c r="C184" s="13">
        <v>1</v>
      </c>
      <c r="D184" s="13">
        <v>2</v>
      </c>
      <c r="E184" s="18" t="s">
        <v>29</v>
      </c>
      <c r="F184" s="9" t="s">
        <v>187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67">
        <v>1255620</v>
      </c>
      <c r="U184" s="67"/>
      <c r="V184" s="1"/>
      <c r="W184" s="14">
        <f>SUM(G184:V184)</f>
        <v>1255620</v>
      </c>
      <c r="Y184" t="s">
        <v>188</v>
      </c>
    </row>
    <row r="185" spans="1:25" x14ac:dyDescent="0.25">
      <c r="A185" s="2">
        <v>2</v>
      </c>
      <c r="B185" s="2">
        <v>6</v>
      </c>
      <c r="C185" s="2">
        <v>2</v>
      </c>
      <c r="D185" s="2">
        <v>3</v>
      </c>
      <c r="E185" s="2"/>
      <c r="F185" s="8" t="s">
        <v>189</v>
      </c>
      <c r="G185" s="34">
        <f>G186</f>
        <v>456820</v>
      </c>
      <c r="H185" s="34">
        <f t="shared" ref="H185:W185" si="92">H186</f>
        <v>0</v>
      </c>
      <c r="I185" s="34">
        <f t="shared" si="92"/>
        <v>0</v>
      </c>
      <c r="J185" s="34">
        <f t="shared" si="92"/>
        <v>0</v>
      </c>
      <c r="K185" s="34">
        <f t="shared" si="92"/>
        <v>0</v>
      </c>
      <c r="L185" s="34">
        <f t="shared" si="92"/>
        <v>0</v>
      </c>
      <c r="M185" s="34">
        <f t="shared" si="92"/>
        <v>0</v>
      </c>
      <c r="N185" s="34">
        <f t="shared" si="92"/>
        <v>0</v>
      </c>
      <c r="O185" s="34">
        <f t="shared" si="92"/>
        <v>0</v>
      </c>
      <c r="P185" s="34">
        <f t="shared" si="92"/>
        <v>0</v>
      </c>
      <c r="Q185" s="34">
        <f t="shared" si="92"/>
        <v>0</v>
      </c>
      <c r="R185" s="34">
        <f t="shared" si="92"/>
        <v>0</v>
      </c>
      <c r="S185" s="34">
        <f t="shared" si="92"/>
        <v>0</v>
      </c>
      <c r="T185" s="34">
        <f t="shared" si="92"/>
        <v>0</v>
      </c>
      <c r="U185" s="34">
        <f t="shared" si="92"/>
        <v>0</v>
      </c>
      <c r="V185" s="34">
        <f t="shared" si="92"/>
        <v>0</v>
      </c>
      <c r="W185" s="34">
        <f t="shared" si="92"/>
        <v>456820</v>
      </c>
    </row>
    <row r="186" spans="1:25" x14ac:dyDescent="0.25">
      <c r="A186" s="13">
        <v>2</v>
      </c>
      <c r="B186" s="13">
        <v>6</v>
      </c>
      <c r="C186" s="13">
        <v>2</v>
      </c>
      <c r="D186" s="13">
        <v>3</v>
      </c>
      <c r="E186" s="18" t="s">
        <v>29</v>
      </c>
      <c r="F186" s="10" t="s">
        <v>189</v>
      </c>
      <c r="G186" s="14">
        <v>456820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4">
        <f>SUM(G186:V186)</f>
        <v>456820</v>
      </c>
    </row>
    <row r="187" spans="1:25" x14ac:dyDescent="0.25">
      <c r="A187" s="3">
        <v>2</v>
      </c>
      <c r="B187" s="3">
        <v>6</v>
      </c>
      <c r="C187" s="3">
        <v>3</v>
      </c>
      <c r="D187" s="3"/>
      <c r="E187" s="3"/>
      <c r="F187" s="7" t="s">
        <v>190</v>
      </c>
      <c r="G187" s="4">
        <f>G188+G190+G192</f>
        <v>0</v>
      </c>
      <c r="H187" s="4">
        <f t="shared" ref="H187:V187" si="93">H188+H190+H192</f>
        <v>0</v>
      </c>
      <c r="I187" s="4">
        <f t="shared" si="93"/>
        <v>0</v>
      </c>
      <c r="J187" s="4">
        <f t="shared" si="93"/>
        <v>0</v>
      </c>
      <c r="K187" s="4">
        <f t="shared" si="93"/>
        <v>0</v>
      </c>
      <c r="L187" s="4">
        <f t="shared" si="93"/>
        <v>0</v>
      </c>
      <c r="M187" s="4">
        <f t="shared" si="93"/>
        <v>0</v>
      </c>
      <c r="N187" s="4">
        <f t="shared" si="93"/>
        <v>5635690</v>
      </c>
      <c r="O187" s="4">
        <f t="shared" si="93"/>
        <v>3258000</v>
      </c>
      <c r="P187" s="4">
        <f t="shared" si="93"/>
        <v>0</v>
      </c>
      <c r="Q187" s="4">
        <f t="shared" si="93"/>
        <v>0</v>
      </c>
      <c r="R187" s="4">
        <f t="shared" si="93"/>
        <v>0</v>
      </c>
      <c r="S187" s="4">
        <f t="shared" si="93"/>
        <v>1254860</v>
      </c>
      <c r="T187" s="4">
        <f t="shared" si="93"/>
        <v>0</v>
      </c>
      <c r="U187" s="4">
        <f t="shared" si="93"/>
        <v>0</v>
      </c>
      <c r="V187" s="4">
        <f t="shared" si="93"/>
        <v>0</v>
      </c>
      <c r="W187" s="4">
        <f>W188+W190+W192</f>
        <v>10148550</v>
      </c>
      <c r="X187" s="78"/>
    </row>
    <row r="188" spans="1:25" x14ac:dyDescent="0.25">
      <c r="A188" s="2">
        <v>2</v>
      </c>
      <c r="B188" s="2">
        <v>6</v>
      </c>
      <c r="C188" s="2">
        <v>3</v>
      </c>
      <c r="D188" s="2">
        <v>1</v>
      </c>
      <c r="E188" s="2"/>
      <c r="F188" s="66" t="s">
        <v>191</v>
      </c>
      <c r="G188" s="34">
        <f>G189</f>
        <v>0</v>
      </c>
      <c r="H188" s="34">
        <f t="shared" ref="H188:W188" si="94">H189</f>
        <v>0</v>
      </c>
      <c r="I188" s="34">
        <f t="shared" si="94"/>
        <v>0</v>
      </c>
      <c r="J188" s="34">
        <f t="shared" si="94"/>
        <v>0</v>
      </c>
      <c r="K188" s="34">
        <f t="shared" si="94"/>
        <v>0</v>
      </c>
      <c r="L188" s="34">
        <f t="shared" si="94"/>
        <v>0</v>
      </c>
      <c r="M188" s="34">
        <f t="shared" si="94"/>
        <v>0</v>
      </c>
      <c r="N188" s="34">
        <f t="shared" si="94"/>
        <v>385690</v>
      </c>
      <c r="O188" s="34">
        <f t="shared" si="94"/>
        <v>0</v>
      </c>
      <c r="P188" s="34">
        <f t="shared" si="94"/>
        <v>0</v>
      </c>
      <c r="Q188" s="34">
        <f t="shared" si="94"/>
        <v>0</v>
      </c>
      <c r="R188" s="34">
        <f t="shared" si="94"/>
        <v>0</v>
      </c>
      <c r="S188" s="34">
        <f t="shared" si="94"/>
        <v>0</v>
      </c>
      <c r="T188" s="34">
        <f t="shared" si="94"/>
        <v>0</v>
      </c>
      <c r="U188" s="34">
        <f t="shared" si="94"/>
        <v>0</v>
      </c>
      <c r="V188" s="34">
        <f t="shared" si="94"/>
        <v>0</v>
      </c>
      <c r="W188" s="34">
        <f t="shared" si="94"/>
        <v>385690</v>
      </c>
    </row>
    <row r="189" spans="1:25" x14ac:dyDescent="0.25">
      <c r="A189" s="13">
        <v>2</v>
      </c>
      <c r="B189" s="13">
        <v>6</v>
      </c>
      <c r="C189" s="13">
        <v>3</v>
      </c>
      <c r="D189" s="13">
        <v>1</v>
      </c>
      <c r="E189" s="18" t="s">
        <v>29</v>
      </c>
      <c r="F189" s="10" t="s">
        <v>191</v>
      </c>
      <c r="G189" s="10"/>
      <c r="H189" s="10"/>
      <c r="I189" s="10"/>
      <c r="J189" s="10"/>
      <c r="K189" s="10"/>
      <c r="L189" s="10"/>
      <c r="M189" s="10"/>
      <c r="N189" s="67">
        <v>385690</v>
      </c>
      <c r="O189" s="10"/>
      <c r="P189" s="10"/>
      <c r="Q189" s="10"/>
      <c r="R189" s="10"/>
      <c r="S189" s="10"/>
      <c r="T189" s="10"/>
      <c r="U189" s="10"/>
      <c r="V189" s="10"/>
      <c r="W189" s="14">
        <f>SUM(G189:V189)</f>
        <v>385690</v>
      </c>
    </row>
    <row r="190" spans="1:25" x14ac:dyDescent="0.25">
      <c r="A190" s="2">
        <v>2</v>
      </c>
      <c r="B190" s="2">
        <v>6</v>
      </c>
      <c r="C190" s="2">
        <v>3</v>
      </c>
      <c r="D190" s="2">
        <v>2</v>
      </c>
      <c r="E190" s="2"/>
      <c r="F190" s="66" t="s">
        <v>192</v>
      </c>
      <c r="G190" s="68">
        <f>G191</f>
        <v>0</v>
      </c>
      <c r="H190" s="68">
        <f t="shared" ref="H190:V190" si="95">H191</f>
        <v>0</v>
      </c>
      <c r="I190" s="68">
        <f t="shared" si="95"/>
        <v>0</v>
      </c>
      <c r="J190" s="68">
        <f t="shared" si="95"/>
        <v>0</v>
      </c>
      <c r="K190" s="68">
        <f t="shared" si="95"/>
        <v>0</v>
      </c>
      <c r="L190" s="68">
        <f t="shared" si="95"/>
        <v>0</v>
      </c>
      <c r="M190" s="68">
        <f t="shared" si="95"/>
        <v>0</v>
      </c>
      <c r="N190" s="68">
        <f t="shared" si="95"/>
        <v>5250000</v>
      </c>
      <c r="O190" s="68">
        <f t="shared" si="95"/>
        <v>3258000</v>
      </c>
      <c r="P190" s="68">
        <f t="shared" si="95"/>
        <v>0</v>
      </c>
      <c r="Q190" s="68">
        <f t="shared" si="95"/>
        <v>0</v>
      </c>
      <c r="R190" s="68">
        <f t="shared" si="95"/>
        <v>0</v>
      </c>
      <c r="S190" s="68">
        <f t="shared" si="95"/>
        <v>0</v>
      </c>
      <c r="T190" s="68">
        <f t="shared" si="95"/>
        <v>0</v>
      </c>
      <c r="U190" s="68">
        <f t="shared" si="95"/>
        <v>0</v>
      </c>
      <c r="V190" s="68">
        <f t="shared" si="95"/>
        <v>0</v>
      </c>
      <c r="W190" s="34">
        <f>W191</f>
        <v>8508000</v>
      </c>
    </row>
    <row r="191" spans="1:25" x14ac:dyDescent="0.25">
      <c r="A191" s="13">
        <v>2</v>
      </c>
      <c r="B191" s="13">
        <v>6</v>
      </c>
      <c r="C191" s="13">
        <v>3</v>
      </c>
      <c r="D191" s="13">
        <v>2</v>
      </c>
      <c r="E191" s="18" t="s">
        <v>29</v>
      </c>
      <c r="F191" s="9" t="s">
        <v>192</v>
      </c>
      <c r="G191" s="1"/>
      <c r="H191" s="1"/>
      <c r="I191" s="1"/>
      <c r="J191" s="1"/>
      <c r="K191" s="1"/>
      <c r="L191" s="1"/>
      <c r="M191" s="1"/>
      <c r="N191" s="67">
        <v>5250000</v>
      </c>
      <c r="O191" s="67">
        <v>3258000</v>
      </c>
      <c r="P191" s="1"/>
      <c r="Q191" s="67"/>
      <c r="R191" s="1"/>
      <c r="S191" s="1"/>
      <c r="T191" s="1"/>
      <c r="U191" s="1"/>
      <c r="V191" s="1"/>
      <c r="W191" s="14">
        <f>SUM(G191:V191)</f>
        <v>8508000</v>
      </c>
    </row>
    <row r="192" spans="1:25" x14ac:dyDescent="0.25">
      <c r="A192" s="2">
        <v>2</v>
      </c>
      <c r="B192" s="2">
        <v>6</v>
      </c>
      <c r="C192" s="2">
        <v>3</v>
      </c>
      <c r="D192" s="2">
        <v>4</v>
      </c>
      <c r="E192" s="2"/>
      <c r="F192" s="8" t="s">
        <v>193</v>
      </c>
      <c r="G192" s="34">
        <f>G193</f>
        <v>0</v>
      </c>
      <c r="H192" s="34">
        <f t="shared" ref="H192:W192" si="96">H193</f>
        <v>0</v>
      </c>
      <c r="I192" s="34">
        <f t="shared" si="96"/>
        <v>0</v>
      </c>
      <c r="J192" s="34">
        <f t="shared" si="96"/>
        <v>0</v>
      </c>
      <c r="K192" s="34">
        <f t="shared" si="96"/>
        <v>0</v>
      </c>
      <c r="L192" s="34">
        <f t="shared" si="96"/>
        <v>0</v>
      </c>
      <c r="M192" s="34">
        <f t="shared" si="96"/>
        <v>0</v>
      </c>
      <c r="N192" s="34">
        <f t="shared" si="96"/>
        <v>0</v>
      </c>
      <c r="O192" s="34">
        <f t="shared" si="96"/>
        <v>0</v>
      </c>
      <c r="P192" s="34">
        <f t="shared" si="96"/>
        <v>0</v>
      </c>
      <c r="Q192" s="34">
        <f t="shared" si="96"/>
        <v>0</v>
      </c>
      <c r="R192" s="34">
        <f t="shared" si="96"/>
        <v>0</v>
      </c>
      <c r="S192" s="34">
        <f t="shared" si="96"/>
        <v>1254860</v>
      </c>
      <c r="T192" s="34">
        <f t="shared" si="96"/>
        <v>0</v>
      </c>
      <c r="U192" s="34">
        <f t="shared" si="96"/>
        <v>0</v>
      </c>
      <c r="V192" s="34">
        <f t="shared" si="96"/>
        <v>0</v>
      </c>
      <c r="W192" s="70">
        <f t="shared" si="96"/>
        <v>1254860</v>
      </c>
    </row>
    <row r="193" spans="1:25" x14ac:dyDescent="0.25">
      <c r="A193" s="13">
        <v>2</v>
      </c>
      <c r="B193" s="13">
        <v>6</v>
      </c>
      <c r="C193" s="13">
        <v>3</v>
      </c>
      <c r="D193" s="13">
        <v>4</v>
      </c>
      <c r="E193" s="18" t="s">
        <v>29</v>
      </c>
      <c r="F193" s="9" t="s">
        <v>193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67">
        <v>1254860</v>
      </c>
      <c r="T193" s="1"/>
      <c r="U193" s="1"/>
      <c r="V193" s="1"/>
      <c r="W193" s="69">
        <f>SUM(G193:V193)</f>
        <v>1254860</v>
      </c>
    </row>
    <row r="194" spans="1:25" x14ac:dyDescent="0.25">
      <c r="A194" s="3">
        <v>2</v>
      </c>
      <c r="B194" s="3">
        <v>6</v>
      </c>
      <c r="C194" s="3">
        <v>4</v>
      </c>
      <c r="D194" s="3"/>
      <c r="E194" s="3"/>
      <c r="F194" s="7" t="s">
        <v>194</v>
      </c>
      <c r="G194" s="4">
        <f>+G195+G197</f>
        <v>4500000</v>
      </c>
      <c r="H194" s="4">
        <f t="shared" ref="H194:W194" si="97">+H195+H197</f>
        <v>0</v>
      </c>
      <c r="I194" s="4">
        <f t="shared" si="97"/>
        <v>0</v>
      </c>
      <c r="J194" s="4">
        <f t="shared" si="97"/>
        <v>0</v>
      </c>
      <c r="K194" s="4">
        <f t="shared" si="97"/>
        <v>0</v>
      </c>
      <c r="L194" s="4">
        <f t="shared" si="97"/>
        <v>0</v>
      </c>
      <c r="M194" s="4">
        <f t="shared" si="97"/>
        <v>0</v>
      </c>
      <c r="N194" s="4">
        <f t="shared" si="97"/>
        <v>0</v>
      </c>
      <c r="O194" s="4">
        <f t="shared" si="97"/>
        <v>1895632.5</v>
      </c>
      <c r="P194" s="4">
        <f t="shared" si="97"/>
        <v>0</v>
      </c>
      <c r="Q194" s="4">
        <f t="shared" si="97"/>
        <v>0</v>
      </c>
      <c r="R194" s="4">
        <f t="shared" si="97"/>
        <v>0</v>
      </c>
      <c r="S194" s="4">
        <f t="shared" si="97"/>
        <v>0</v>
      </c>
      <c r="T194" s="4">
        <f t="shared" si="97"/>
        <v>0</v>
      </c>
      <c r="U194" s="4">
        <f t="shared" si="97"/>
        <v>0</v>
      </c>
      <c r="V194" s="4">
        <f t="shared" si="97"/>
        <v>0</v>
      </c>
      <c r="W194" s="71">
        <f t="shared" si="97"/>
        <v>6395632.5</v>
      </c>
      <c r="X194" s="78"/>
      <c r="Y194" s="78"/>
    </row>
    <row r="195" spans="1:25" x14ac:dyDescent="0.25">
      <c r="A195" s="2">
        <v>2</v>
      </c>
      <c r="B195" s="2">
        <v>6</v>
      </c>
      <c r="C195" s="2">
        <v>4</v>
      </c>
      <c r="D195" s="2">
        <v>1</v>
      </c>
      <c r="E195" s="2"/>
      <c r="F195" s="8" t="s">
        <v>195</v>
      </c>
      <c r="G195" s="34">
        <f>G196</f>
        <v>0</v>
      </c>
      <c r="H195" s="34">
        <f t="shared" ref="H195:W195" si="98">H196</f>
        <v>0</v>
      </c>
      <c r="I195" s="34">
        <f t="shared" si="98"/>
        <v>0</v>
      </c>
      <c r="J195" s="34">
        <f t="shared" si="98"/>
        <v>0</v>
      </c>
      <c r="K195" s="34">
        <f t="shared" si="98"/>
        <v>0</v>
      </c>
      <c r="L195" s="34">
        <f t="shared" si="98"/>
        <v>0</v>
      </c>
      <c r="M195" s="34">
        <f t="shared" si="98"/>
        <v>0</v>
      </c>
      <c r="N195" s="34">
        <f t="shared" si="98"/>
        <v>0</v>
      </c>
      <c r="O195" s="34">
        <f t="shared" si="98"/>
        <v>1895632.5</v>
      </c>
      <c r="P195" s="34">
        <f t="shared" si="98"/>
        <v>0</v>
      </c>
      <c r="Q195" s="34">
        <f t="shared" si="98"/>
        <v>0</v>
      </c>
      <c r="R195" s="34">
        <f t="shared" si="98"/>
        <v>0</v>
      </c>
      <c r="S195" s="34">
        <f t="shared" si="98"/>
        <v>0</v>
      </c>
      <c r="T195" s="34">
        <f t="shared" si="98"/>
        <v>0</v>
      </c>
      <c r="U195" s="34">
        <f t="shared" si="98"/>
        <v>0</v>
      </c>
      <c r="V195" s="34">
        <f t="shared" si="98"/>
        <v>0</v>
      </c>
      <c r="W195" s="70">
        <f t="shared" si="98"/>
        <v>1895632.5</v>
      </c>
    </row>
    <row r="196" spans="1:25" x14ac:dyDescent="0.25">
      <c r="A196" s="13">
        <v>2</v>
      </c>
      <c r="B196" s="13">
        <v>6</v>
      </c>
      <c r="C196" s="13">
        <v>4</v>
      </c>
      <c r="D196" s="13">
        <v>1</v>
      </c>
      <c r="E196" s="18" t="s">
        <v>29</v>
      </c>
      <c r="F196" s="9" t="s">
        <v>195</v>
      </c>
      <c r="H196" s="1"/>
      <c r="I196" s="1"/>
      <c r="J196" s="1"/>
      <c r="K196" s="1"/>
      <c r="L196" s="1"/>
      <c r="M196" s="1"/>
      <c r="N196" s="1"/>
      <c r="O196" s="67">
        <v>1895632.5</v>
      </c>
      <c r="P196" s="1"/>
      <c r="Q196" s="1"/>
      <c r="R196" s="1"/>
      <c r="S196" s="1"/>
      <c r="T196" s="1"/>
      <c r="U196" s="1"/>
      <c r="V196" s="1"/>
      <c r="W196" s="69">
        <f>SUM(G196:V196)</f>
        <v>1895632.5</v>
      </c>
    </row>
    <row r="197" spans="1:25" x14ac:dyDescent="0.25">
      <c r="A197" s="13">
        <v>2</v>
      </c>
      <c r="B197" s="13">
        <v>6</v>
      </c>
      <c r="C197" s="13">
        <v>4</v>
      </c>
      <c r="D197" s="13">
        <v>8</v>
      </c>
      <c r="E197" s="18"/>
      <c r="F197" s="8" t="s">
        <v>196</v>
      </c>
      <c r="G197" s="34">
        <f>G198</f>
        <v>4500000</v>
      </c>
      <c r="H197" s="34">
        <f t="shared" ref="H197:W197" si="99">H198</f>
        <v>0</v>
      </c>
      <c r="I197" s="34">
        <f t="shared" si="99"/>
        <v>0</v>
      </c>
      <c r="J197" s="34">
        <f t="shared" si="99"/>
        <v>0</v>
      </c>
      <c r="K197" s="34">
        <f t="shared" si="99"/>
        <v>0</v>
      </c>
      <c r="L197" s="34">
        <f t="shared" si="99"/>
        <v>0</v>
      </c>
      <c r="M197" s="34">
        <f t="shared" si="99"/>
        <v>0</v>
      </c>
      <c r="N197" s="34">
        <f t="shared" si="99"/>
        <v>0</v>
      </c>
      <c r="O197" s="34">
        <f t="shared" si="99"/>
        <v>0</v>
      </c>
      <c r="P197" s="34">
        <f t="shared" si="99"/>
        <v>0</v>
      </c>
      <c r="Q197" s="34">
        <f t="shared" si="99"/>
        <v>0</v>
      </c>
      <c r="R197" s="34">
        <f t="shared" si="99"/>
        <v>0</v>
      </c>
      <c r="S197" s="34">
        <f t="shared" si="99"/>
        <v>0</v>
      </c>
      <c r="T197" s="34">
        <f t="shared" si="99"/>
        <v>0</v>
      </c>
      <c r="U197" s="34">
        <f t="shared" si="99"/>
        <v>0</v>
      </c>
      <c r="V197" s="34">
        <f t="shared" si="99"/>
        <v>0</v>
      </c>
      <c r="W197" s="34">
        <f t="shared" si="99"/>
        <v>4500000</v>
      </c>
    </row>
    <row r="198" spans="1:25" x14ac:dyDescent="0.25">
      <c r="A198" s="13">
        <v>2</v>
      </c>
      <c r="B198" s="13">
        <v>6</v>
      </c>
      <c r="C198" s="13">
        <v>4</v>
      </c>
      <c r="D198" s="13">
        <v>8</v>
      </c>
      <c r="E198" s="18" t="s">
        <v>29</v>
      </c>
      <c r="F198" s="9" t="s">
        <v>194</v>
      </c>
      <c r="G198" s="67">
        <v>4500000</v>
      </c>
      <c r="H198" s="1"/>
      <c r="I198" s="1"/>
      <c r="J198" s="1"/>
      <c r="K198" s="1"/>
      <c r="L198" s="1"/>
      <c r="M198" s="1"/>
      <c r="N198" s="1"/>
      <c r="P198" s="1"/>
      <c r="Q198" s="1"/>
      <c r="R198" s="1"/>
      <c r="S198" s="1"/>
      <c r="T198" s="1"/>
      <c r="U198" s="1"/>
      <c r="V198" s="1"/>
      <c r="W198" s="69">
        <f>SUM(G198:V198)</f>
        <v>4500000</v>
      </c>
    </row>
    <row r="199" spans="1:25" x14ac:dyDescent="0.25">
      <c r="A199" s="3">
        <v>2</v>
      </c>
      <c r="B199" s="3">
        <v>6</v>
      </c>
      <c r="C199" s="3">
        <v>5</v>
      </c>
      <c r="D199" s="3"/>
      <c r="E199" s="3"/>
      <c r="F199" s="7" t="s">
        <v>197</v>
      </c>
      <c r="G199" s="4">
        <f>G200+G202+G204+G206+G208</f>
        <v>25350</v>
      </c>
      <c r="H199" s="4">
        <f t="shared" ref="H199:W199" si="100">H200+H202+H204+H206+H208</f>
        <v>906940</v>
      </c>
      <c r="I199" s="4">
        <f t="shared" si="100"/>
        <v>0</v>
      </c>
      <c r="J199" s="4">
        <f t="shared" si="100"/>
        <v>852122.56</v>
      </c>
      <c r="K199" s="4">
        <f t="shared" si="100"/>
        <v>32540</v>
      </c>
      <c r="L199" s="4">
        <f t="shared" si="100"/>
        <v>45820</v>
      </c>
      <c r="M199" s="4">
        <f t="shared" si="100"/>
        <v>472580</v>
      </c>
      <c r="N199" s="4">
        <f t="shared" si="100"/>
        <v>25650</v>
      </c>
      <c r="O199" s="4">
        <f t="shared" si="100"/>
        <v>6729696.75</v>
      </c>
      <c r="P199" s="4">
        <f t="shared" si="100"/>
        <v>0</v>
      </c>
      <c r="Q199" s="4">
        <f t="shared" si="100"/>
        <v>0</v>
      </c>
      <c r="R199" s="4">
        <f t="shared" si="100"/>
        <v>25650</v>
      </c>
      <c r="S199" s="4">
        <f t="shared" si="100"/>
        <v>22650</v>
      </c>
      <c r="T199" s="4">
        <f t="shared" si="100"/>
        <v>33650</v>
      </c>
      <c r="U199" s="4">
        <f t="shared" si="100"/>
        <v>0</v>
      </c>
      <c r="V199" s="4">
        <f t="shared" si="100"/>
        <v>3902105.5</v>
      </c>
      <c r="W199" s="21">
        <f t="shared" si="100"/>
        <v>13074754.810000001</v>
      </c>
      <c r="X199" s="78"/>
    </row>
    <row r="200" spans="1:25" x14ac:dyDescent="0.25">
      <c r="A200" s="2">
        <v>2</v>
      </c>
      <c r="B200" s="2">
        <v>6</v>
      </c>
      <c r="C200" s="2">
        <v>5</v>
      </c>
      <c r="D200" s="2">
        <v>1</v>
      </c>
      <c r="E200" s="2"/>
      <c r="F200" s="8" t="s">
        <v>198</v>
      </c>
      <c r="G200" s="34">
        <f>G201</f>
        <v>0</v>
      </c>
      <c r="H200" s="34">
        <f t="shared" ref="H200:W200" si="101">H201</f>
        <v>0</v>
      </c>
      <c r="I200" s="34">
        <f t="shared" si="101"/>
        <v>0</v>
      </c>
      <c r="J200" s="34">
        <f t="shared" si="101"/>
        <v>616432.56000000006</v>
      </c>
      <c r="K200" s="34">
        <f t="shared" si="101"/>
        <v>0</v>
      </c>
      <c r="L200" s="34">
        <f t="shared" si="101"/>
        <v>0</v>
      </c>
      <c r="M200" s="34">
        <f t="shared" si="101"/>
        <v>0</v>
      </c>
      <c r="N200" s="34">
        <f t="shared" si="101"/>
        <v>0</v>
      </c>
      <c r="O200" s="34">
        <f t="shared" si="101"/>
        <v>1250000</v>
      </c>
      <c r="P200" s="34">
        <f t="shared" si="101"/>
        <v>0</v>
      </c>
      <c r="Q200" s="34">
        <f t="shared" si="101"/>
        <v>0</v>
      </c>
      <c r="R200" s="34">
        <f t="shared" si="101"/>
        <v>0</v>
      </c>
      <c r="S200" s="34">
        <f t="shared" si="101"/>
        <v>0</v>
      </c>
      <c r="T200" s="34">
        <f t="shared" si="101"/>
        <v>0</v>
      </c>
      <c r="U200" s="34">
        <f t="shared" si="101"/>
        <v>0</v>
      </c>
      <c r="V200" s="34">
        <f t="shared" si="101"/>
        <v>0</v>
      </c>
      <c r="W200" s="70">
        <f t="shared" si="101"/>
        <v>1866432.56</v>
      </c>
    </row>
    <row r="201" spans="1:25" x14ac:dyDescent="0.25">
      <c r="A201" s="13">
        <v>2</v>
      </c>
      <c r="B201" s="13">
        <v>6</v>
      </c>
      <c r="C201" s="13">
        <v>5</v>
      </c>
      <c r="D201" s="13">
        <v>1</v>
      </c>
      <c r="E201" s="18" t="s">
        <v>29</v>
      </c>
      <c r="F201" s="9" t="s">
        <v>198</v>
      </c>
      <c r="G201" s="1"/>
      <c r="H201" s="1"/>
      <c r="I201" s="1"/>
      <c r="J201" s="67">
        <v>616432.56000000006</v>
      </c>
      <c r="K201" s="1"/>
      <c r="L201" s="1"/>
      <c r="M201" s="1"/>
      <c r="N201" s="1"/>
      <c r="O201" s="67">
        <v>1250000</v>
      </c>
      <c r="P201" s="1"/>
      <c r="Q201" s="67"/>
      <c r="R201" s="1"/>
      <c r="S201" s="1"/>
      <c r="T201" s="1"/>
      <c r="U201" s="1"/>
      <c r="V201" s="1"/>
      <c r="W201" s="69">
        <f>SUM(G201:V201)</f>
        <v>1866432.56</v>
      </c>
    </row>
    <row r="202" spans="1:25" x14ac:dyDescent="0.25">
      <c r="A202" s="2">
        <v>2</v>
      </c>
      <c r="B202" s="2">
        <v>6</v>
      </c>
      <c r="C202" s="2">
        <v>5</v>
      </c>
      <c r="D202" s="2">
        <v>4</v>
      </c>
      <c r="E202" s="2"/>
      <c r="F202" s="8" t="s">
        <v>199</v>
      </c>
      <c r="G202" s="34">
        <f>G203</f>
        <v>0</v>
      </c>
      <c r="H202" s="34">
        <f t="shared" ref="H202:W202" si="102">H203</f>
        <v>850000</v>
      </c>
      <c r="I202" s="34">
        <f t="shared" si="102"/>
        <v>0</v>
      </c>
      <c r="J202" s="34">
        <f t="shared" si="102"/>
        <v>0</v>
      </c>
      <c r="K202" s="34">
        <f t="shared" si="102"/>
        <v>0</v>
      </c>
      <c r="L202" s="34">
        <f t="shared" si="102"/>
        <v>0</v>
      </c>
      <c r="M202" s="34">
        <f t="shared" si="102"/>
        <v>450000</v>
      </c>
      <c r="N202" s="34">
        <f t="shared" si="102"/>
        <v>0</v>
      </c>
      <c r="O202" s="34">
        <f t="shared" si="102"/>
        <v>1560000</v>
      </c>
      <c r="P202" s="34">
        <f t="shared" si="102"/>
        <v>0</v>
      </c>
      <c r="Q202" s="34">
        <f t="shared" si="102"/>
        <v>0</v>
      </c>
      <c r="R202" s="34">
        <f t="shared" si="102"/>
        <v>0</v>
      </c>
      <c r="S202" s="34">
        <f t="shared" si="102"/>
        <v>0</v>
      </c>
      <c r="T202" s="34">
        <f t="shared" si="102"/>
        <v>0</v>
      </c>
      <c r="U202" s="34">
        <f t="shared" si="102"/>
        <v>0</v>
      </c>
      <c r="V202" s="34">
        <f t="shared" si="102"/>
        <v>0</v>
      </c>
      <c r="W202" s="70">
        <f t="shared" si="102"/>
        <v>2860000</v>
      </c>
    </row>
    <row r="203" spans="1:25" x14ac:dyDescent="0.25">
      <c r="A203" s="13">
        <v>2</v>
      </c>
      <c r="B203" s="13">
        <v>6</v>
      </c>
      <c r="C203" s="13">
        <v>5</v>
      </c>
      <c r="D203" s="13">
        <v>4</v>
      </c>
      <c r="E203" s="18" t="s">
        <v>29</v>
      </c>
      <c r="F203" s="9" t="s">
        <v>199</v>
      </c>
      <c r="G203" s="1"/>
      <c r="H203" s="67">
        <v>850000</v>
      </c>
      <c r="I203" s="1"/>
      <c r="J203" s="1"/>
      <c r="K203" s="1"/>
      <c r="L203" s="1"/>
      <c r="M203" s="67">
        <v>450000</v>
      </c>
      <c r="N203" s="1"/>
      <c r="O203" s="67">
        <v>1560000</v>
      </c>
      <c r="P203" s="1"/>
      <c r="Q203" s="67"/>
      <c r="R203" s="1"/>
      <c r="S203" s="1"/>
      <c r="T203" s="1"/>
      <c r="U203" s="1"/>
      <c r="V203" s="1"/>
      <c r="W203" s="69">
        <f>SUM(G203:V203)</f>
        <v>2860000</v>
      </c>
    </row>
    <row r="204" spans="1:25" ht="28.5" x14ac:dyDescent="0.25">
      <c r="A204" s="72">
        <v>2</v>
      </c>
      <c r="B204" s="72">
        <v>6</v>
      </c>
      <c r="C204" s="72">
        <v>5</v>
      </c>
      <c r="D204" s="72">
        <v>5</v>
      </c>
      <c r="E204" s="72"/>
      <c r="F204" s="55" t="s">
        <v>200</v>
      </c>
      <c r="G204" s="34">
        <f>G205</f>
        <v>25350</v>
      </c>
      <c r="H204" s="34">
        <f>H205</f>
        <v>56940</v>
      </c>
      <c r="I204" s="34"/>
      <c r="J204" s="34">
        <f t="shared" ref="J204:W204" si="103">J205</f>
        <v>235690</v>
      </c>
      <c r="K204" s="34">
        <f t="shared" si="103"/>
        <v>32540</v>
      </c>
      <c r="L204" s="34">
        <f t="shared" si="103"/>
        <v>45820</v>
      </c>
      <c r="M204" s="34">
        <f>M205</f>
        <v>22580</v>
      </c>
      <c r="N204" s="34">
        <f t="shared" si="103"/>
        <v>25650</v>
      </c>
      <c r="O204" s="34">
        <f t="shared" si="103"/>
        <v>22695</v>
      </c>
      <c r="P204" s="34">
        <f>P205</f>
        <v>0</v>
      </c>
      <c r="Q204" s="34"/>
      <c r="R204" s="34">
        <f t="shared" si="103"/>
        <v>25650</v>
      </c>
      <c r="S204" s="34">
        <f>S205</f>
        <v>22650</v>
      </c>
      <c r="T204" s="34">
        <f>T205</f>
        <v>33650</v>
      </c>
      <c r="U204" s="34"/>
      <c r="V204" s="34">
        <f t="shared" si="103"/>
        <v>32685</v>
      </c>
      <c r="W204" s="5">
        <f t="shared" si="103"/>
        <v>581900</v>
      </c>
    </row>
    <row r="205" spans="1:25" x14ac:dyDescent="0.25">
      <c r="A205" s="11">
        <v>2</v>
      </c>
      <c r="B205" s="11">
        <v>6</v>
      </c>
      <c r="C205" s="11">
        <v>5</v>
      </c>
      <c r="D205" s="11">
        <v>5</v>
      </c>
      <c r="E205" s="20" t="s">
        <v>29</v>
      </c>
      <c r="F205" s="56" t="s">
        <v>200</v>
      </c>
      <c r="G205" s="67">
        <v>25350</v>
      </c>
      <c r="H205" s="67">
        <v>56940</v>
      </c>
      <c r="I205" s="67"/>
      <c r="J205" s="67">
        <v>235690</v>
      </c>
      <c r="K205" s="67">
        <v>32540</v>
      </c>
      <c r="L205" s="67">
        <v>45820</v>
      </c>
      <c r="M205" s="67">
        <v>22580</v>
      </c>
      <c r="N205" s="67">
        <v>25650</v>
      </c>
      <c r="O205" s="67">
        <v>22695</v>
      </c>
      <c r="P205" s="67"/>
      <c r="Q205" s="67"/>
      <c r="R205" s="67">
        <v>25650</v>
      </c>
      <c r="S205" s="67">
        <v>22650</v>
      </c>
      <c r="T205" s="67">
        <v>33650</v>
      </c>
      <c r="U205" s="67"/>
      <c r="V205" s="67">
        <v>32685</v>
      </c>
      <c r="W205" s="73">
        <f>SUM(G205:V205)</f>
        <v>581900</v>
      </c>
    </row>
    <row r="206" spans="1:25" x14ac:dyDescent="0.25">
      <c r="A206" s="72">
        <v>2</v>
      </c>
      <c r="B206" s="72">
        <v>6</v>
      </c>
      <c r="C206" s="72">
        <v>5</v>
      </c>
      <c r="D206" s="72">
        <v>6</v>
      </c>
      <c r="E206" s="72"/>
      <c r="F206" s="55" t="s">
        <v>201</v>
      </c>
      <c r="G206" s="74">
        <f>G207</f>
        <v>0</v>
      </c>
      <c r="H206" s="74">
        <f t="shared" ref="H206:W206" si="104">H207</f>
        <v>0</v>
      </c>
      <c r="I206" s="74">
        <f t="shared" si="104"/>
        <v>0</v>
      </c>
      <c r="J206" s="74">
        <f t="shared" si="104"/>
        <v>0</v>
      </c>
      <c r="K206" s="74">
        <f t="shared" si="104"/>
        <v>0</v>
      </c>
      <c r="L206" s="74">
        <f t="shared" si="104"/>
        <v>0</v>
      </c>
      <c r="M206" s="74">
        <f t="shared" si="104"/>
        <v>0</v>
      </c>
      <c r="N206" s="74">
        <f t="shared" si="104"/>
        <v>0</v>
      </c>
      <c r="O206" s="74">
        <f t="shared" si="104"/>
        <v>3568750</v>
      </c>
      <c r="P206" s="74">
        <f t="shared" si="104"/>
        <v>0</v>
      </c>
      <c r="Q206" s="74">
        <f t="shared" si="104"/>
        <v>0</v>
      </c>
      <c r="R206" s="74">
        <f t="shared" si="104"/>
        <v>0</v>
      </c>
      <c r="S206" s="74">
        <f t="shared" si="104"/>
        <v>0</v>
      </c>
      <c r="T206" s="74">
        <f t="shared" si="104"/>
        <v>0</v>
      </c>
      <c r="U206" s="74">
        <f t="shared" si="104"/>
        <v>0</v>
      </c>
      <c r="V206" s="74">
        <f t="shared" si="104"/>
        <v>3869420.5</v>
      </c>
      <c r="W206" s="6">
        <f t="shared" si="104"/>
        <v>7438170.5</v>
      </c>
    </row>
    <row r="207" spans="1:25" x14ac:dyDescent="0.25">
      <c r="A207" s="13">
        <v>2</v>
      </c>
      <c r="B207" s="13">
        <v>6</v>
      </c>
      <c r="C207" s="13">
        <v>5</v>
      </c>
      <c r="D207" s="13">
        <v>6</v>
      </c>
      <c r="E207" s="18" t="s">
        <v>29</v>
      </c>
      <c r="F207" s="9" t="s">
        <v>201</v>
      </c>
      <c r="G207" s="1"/>
      <c r="H207" s="1"/>
      <c r="I207" s="67"/>
      <c r="J207" s="1"/>
      <c r="K207" s="1"/>
      <c r="L207" s="1"/>
      <c r="M207" s="1"/>
      <c r="N207" s="1"/>
      <c r="O207" s="67">
        <v>3568750</v>
      </c>
      <c r="P207" s="1"/>
      <c r="Q207" s="67"/>
      <c r="R207" s="1"/>
      <c r="S207" s="1"/>
      <c r="T207" s="1"/>
      <c r="U207" s="1"/>
      <c r="V207" s="67">
        <v>3869420.5</v>
      </c>
      <c r="W207" s="69">
        <f>SUM(G207:V207)</f>
        <v>7438170.5</v>
      </c>
    </row>
    <row r="208" spans="1:25" x14ac:dyDescent="0.25">
      <c r="A208" s="72">
        <v>2</v>
      </c>
      <c r="B208" s="72">
        <v>6</v>
      </c>
      <c r="C208" s="72">
        <v>5</v>
      </c>
      <c r="D208" s="72">
        <v>7</v>
      </c>
      <c r="E208" s="72"/>
      <c r="F208" s="55" t="s">
        <v>202</v>
      </c>
      <c r="G208" s="74">
        <f>G209</f>
        <v>0</v>
      </c>
      <c r="H208" s="74">
        <f t="shared" ref="H208:W208" si="105">H209</f>
        <v>0</v>
      </c>
      <c r="I208" s="74">
        <f t="shared" si="105"/>
        <v>0</v>
      </c>
      <c r="J208" s="74">
        <f t="shared" si="105"/>
        <v>0</v>
      </c>
      <c r="K208" s="74">
        <f t="shared" si="105"/>
        <v>0</v>
      </c>
      <c r="L208" s="74">
        <f t="shared" si="105"/>
        <v>0</v>
      </c>
      <c r="M208" s="74">
        <f t="shared" si="105"/>
        <v>0</v>
      </c>
      <c r="N208" s="74">
        <f t="shared" si="105"/>
        <v>0</v>
      </c>
      <c r="O208" s="74">
        <f t="shared" si="105"/>
        <v>328251.75</v>
      </c>
      <c r="P208" s="74">
        <f t="shared" si="105"/>
        <v>0</v>
      </c>
      <c r="Q208" s="74">
        <f t="shared" si="105"/>
        <v>0</v>
      </c>
      <c r="R208" s="74">
        <f t="shared" si="105"/>
        <v>0</v>
      </c>
      <c r="S208" s="74">
        <f t="shared" si="105"/>
        <v>0</v>
      </c>
      <c r="T208" s="74">
        <f t="shared" si="105"/>
        <v>0</v>
      </c>
      <c r="U208" s="74">
        <f t="shared" si="105"/>
        <v>0</v>
      </c>
      <c r="V208" s="74">
        <f t="shared" si="105"/>
        <v>0</v>
      </c>
      <c r="W208" s="6">
        <f t="shared" si="105"/>
        <v>328251.75</v>
      </c>
    </row>
    <row r="209" spans="1:24" x14ac:dyDescent="0.25">
      <c r="A209" s="13">
        <v>2</v>
      </c>
      <c r="B209" s="13">
        <v>6</v>
      </c>
      <c r="C209" s="13">
        <v>5</v>
      </c>
      <c r="D209" s="13">
        <v>7</v>
      </c>
      <c r="E209" s="18" t="s">
        <v>29</v>
      </c>
      <c r="F209" s="9" t="s">
        <v>203</v>
      </c>
      <c r="G209" s="1"/>
      <c r="H209" s="1"/>
      <c r="I209" s="1"/>
      <c r="J209" s="1"/>
      <c r="K209" s="1"/>
      <c r="L209" s="1"/>
      <c r="M209" s="1"/>
      <c r="N209" s="1"/>
      <c r="O209" s="67">
        <v>328251.75</v>
      </c>
      <c r="P209" s="1"/>
      <c r="Q209" s="1"/>
      <c r="R209" s="1"/>
      <c r="S209" s="1"/>
      <c r="T209" s="1"/>
      <c r="U209" s="1"/>
      <c r="V209" s="1"/>
      <c r="W209" s="69">
        <f>SUM(G209:V209)</f>
        <v>328251.75</v>
      </c>
    </row>
    <row r="210" spans="1:24" x14ac:dyDescent="0.25">
      <c r="A210" s="3">
        <v>2</v>
      </c>
      <c r="B210" s="3">
        <v>6</v>
      </c>
      <c r="C210" s="3">
        <v>8</v>
      </c>
      <c r="D210" s="3"/>
      <c r="E210" s="3"/>
      <c r="F210" s="7" t="s">
        <v>204</v>
      </c>
      <c r="G210" s="4">
        <f t="shared" ref="G210:W210" si="106">+G211+G213+G215</f>
        <v>0</v>
      </c>
      <c r="H210" s="4">
        <f t="shared" si="106"/>
        <v>0</v>
      </c>
      <c r="I210" s="4">
        <f t="shared" si="106"/>
        <v>0</v>
      </c>
      <c r="J210" s="4">
        <f t="shared" si="106"/>
        <v>0</v>
      </c>
      <c r="K210" s="4">
        <f t="shared" si="106"/>
        <v>0</v>
      </c>
      <c r="L210" s="4">
        <f t="shared" si="106"/>
        <v>0</v>
      </c>
      <c r="M210" s="4">
        <f t="shared" si="106"/>
        <v>0</v>
      </c>
      <c r="N210" s="4">
        <f t="shared" si="106"/>
        <v>0</v>
      </c>
      <c r="O210" s="4">
        <f t="shared" si="106"/>
        <v>1669367.93</v>
      </c>
      <c r="P210" s="4">
        <f t="shared" si="106"/>
        <v>0</v>
      </c>
      <c r="Q210" s="4">
        <f t="shared" si="106"/>
        <v>0</v>
      </c>
      <c r="R210" s="4">
        <f t="shared" si="106"/>
        <v>0</v>
      </c>
      <c r="S210" s="4">
        <f t="shared" si="106"/>
        <v>8294184</v>
      </c>
      <c r="T210" s="4">
        <f t="shared" si="106"/>
        <v>0</v>
      </c>
      <c r="U210" s="4">
        <f t="shared" si="106"/>
        <v>0</v>
      </c>
      <c r="V210" s="4">
        <f t="shared" si="106"/>
        <v>0</v>
      </c>
      <c r="W210" s="4">
        <f t="shared" si="106"/>
        <v>9963551.9299999997</v>
      </c>
      <c r="X210" s="78"/>
    </row>
    <row r="211" spans="1:24" x14ac:dyDescent="0.25">
      <c r="A211" s="13">
        <v>2</v>
      </c>
      <c r="B211" s="13">
        <v>6</v>
      </c>
      <c r="C211" s="13">
        <v>8</v>
      </c>
      <c r="D211" s="13">
        <v>1</v>
      </c>
      <c r="E211" s="18"/>
      <c r="F211" s="55" t="s">
        <v>205</v>
      </c>
      <c r="G211" s="74">
        <f>G212</f>
        <v>0</v>
      </c>
      <c r="H211" s="74">
        <f t="shared" ref="H211:W211" si="107">H212</f>
        <v>0</v>
      </c>
      <c r="I211" s="74">
        <f t="shared" si="107"/>
        <v>0</v>
      </c>
      <c r="J211" s="74">
        <f t="shared" si="107"/>
        <v>0</v>
      </c>
      <c r="K211" s="74">
        <f t="shared" si="107"/>
        <v>0</v>
      </c>
      <c r="L211" s="74">
        <f t="shared" si="107"/>
        <v>0</v>
      </c>
      <c r="M211" s="74">
        <f t="shared" si="107"/>
        <v>0</v>
      </c>
      <c r="N211" s="74">
        <f t="shared" si="107"/>
        <v>0</v>
      </c>
      <c r="O211" s="74">
        <f t="shared" si="107"/>
        <v>0</v>
      </c>
      <c r="P211" s="74">
        <f t="shared" si="107"/>
        <v>0</v>
      </c>
      <c r="Q211" s="74">
        <f t="shared" si="107"/>
        <v>0</v>
      </c>
      <c r="R211" s="74">
        <f t="shared" si="107"/>
        <v>0</v>
      </c>
      <c r="S211" s="74">
        <f t="shared" si="107"/>
        <v>6658920</v>
      </c>
      <c r="T211" s="74">
        <f t="shared" si="107"/>
        <v>0</v>
      </c>
      <c r="U211" s="74">
        <f t="shared" si="107"/>
        <v>0</v>
      </c>
      <c r="V211" s="74">
        <f t="shared" si="107"/>
        <v>0</v>
      </c>
      <c r="W211" s="74">
        <f t="shared" si="107"/>
        <v>6658920</v>
      </c>
    </row>
    <row r="212" spans="1:24" x14ac:dyDescent="0.25">
      <c r="A212" s="13">
        <v>2</v>
      </c>
      <c r="B212" s="13">
        <v>6</v>
      </c>
      <c r="C212" s="13">
        <v>8</v>
      </c>
      <c r="D212" s="13">
        <v>1</v>
      </c>
      <c r="E212" s="18" t="s">
        <v>29</v>
      </c>
      <c r="F212" s="9" t="s">
        <v>206</v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67">
        <v>6658920</v>
      </c>
      <c r="T212" s="1"/>
      <c r="U212" s="1"/>
      <c r="V212" s="1"/>
      <c r="W212" s="69">
        <f>SUM(G212:V212)</f>
        <v>6658920</v>
      </c>
    </row>
    <row r="213" spans="1:24" x14ac:dyDescent="0.25">
      <c r="A213" s="2">
        <v>2</v>
      </c>
      <c r="B213" s="2">
        <v>6</v>
      </c>
      <c r="C213" s="2">
        <v>8</v>
      </c>
      <c r="D213" s="2">
        <v>3</v>
      </c>
      <c r="E213" s="2"/>
      <c r="F213" s="8" t="s">
        <v>207</v>
      </c>
      <c r="G213" s="74">
        <f t="shared" ref="G213:W213" si="108">SUM(G214:G214)</f>
        <v>0</v>
      </c>
      <c r="H213" s="74">
        <f t="shared" si="108"/>
        <v>0</v>
      </c>
      <c r="I213" s="74">
        <f t="shared" si="108"/>
        <v>0</v>
      </c>
      <c r="J213" s="74">
        <f t="shared" si="108"/>
        <v>0</v>
      </c>
      <c r="K213" s="74">
        <f t="shared" si="108"/>
        <v>0</v>
      </c>
      <c r="L213" s="74">
        <f t="shared" si="108"/>
        <v>0</v>
      </c>
      <c r="M213" s="74">
        <f t="shared" si="108"/>
        <v>0</v>
      </c>
      <c r="N213" s="74">
        <f t="shared" si="108"/>
        <v>0</v>
      </c>
      <c r="O213" s="74">
        <f t="shared" si="108"/>
        <v>1669367.93</v>
      </c>
      <c r="P213" s="74">
        <f t="shared" si="108"/>
        <v>0</v>
      </c>
      <c r="Q213" s="74">
        <f t="shared" si="108"/>
        <v>0</v>
      </c>
      <c r="R213" s="74">
        <f t="shared" si="108"/>
        <v>0</v>
      </c>
      <c r="S213" s="74">
        <f t="shared" si="108"/>
        <v>0</v>
      </c>
      <c r="T213" s="74">
        <f t="shared" si="108"/>
        <v>0</v>
      </c>
      <c r="U213" s="74">
        <f t="shared" si="108"/>
        <v>0</v>
      </c>
      <c r="V213" s="74">
        <f t="shared" si="108"/>
        <v>0</v>
      </c>
      <c r="W213" s="74">
        <f t="shared" si="108"/>
        <v>1669367.93</v>
      </c>
    </row>
    <row r="214" spans="1:24" x14ac:dyDescent="0.25">
      <c r="A214" s="13">
        <v>2</v>
      </c>
      <c r="B214" s="13">
        <v>6</v>
      </c>
      <c r="C214" s="13">
        <v>8</v>
      </c>
      <c r="D214" s="13">
        <v>3</v>
      </c>
      <c r="E214" s="18" t="s">
        <v>49</v>
      </c>
      <c r="F214" s="9" t="s">
        <v>208</v>
      </c>
      <c r="G214" s="1"/>
      <c r="H214" s="1"/>
      <c r="I214" s="1"/>
      <c r="J214" s="1"/>
      <c r="K214" s="1"/>
      <c r="L214" s="1"/>
      <c r="M214" s="1"/>
      <c r="N214" s="1"/>
      <c r="O214" s="67">
        <v>1669367.93</v>
      </c>
      <c r="P214" s="1"/>
      <c r="Q214" s="67"/>
      <c r="R214" s="1"/>
      <c r="S214" s="1"/>
      <c r="T214" s="1"/>
      <c r="U214" s="1"/>
      <c r="V214" s="1"/>
      <c r="W214" s="69">
        <f>SUM(G214:V214)</f>
        <v>1669367.93</v>
      </c>
    </row>
    <row r="215" spans="1:24" x14ac:dyDescent="0.25">
      <c r="A215" s="2">
        <v>2</v>
      </c>
      <c r="B215" s="2">
        <v>6</v>
      </c>
      <c r="C215" s="2">
        <v>8</v>
      </c>
      <c r="D215" s="2">
        <v>5</v>
      </c>
      <c r="E215" s="2"/>
      <c r="F215" s="8" t="s">
        <v>209</v>
      </c>
      <c r="G215" s="74">
        <f>G216</f>
        <v>0</v>
      </c>
      <c r="H215" s="74">
        <f t="shared" ref="H215:W215" si="109">H216</f>
        <v>0</v>
      </c>
      <c r="I215" s="74">
        <f t="shared" si="109"/>
        <v>0</v>
      </c>
      <c r="J215" s="74">
        <f t="shared" si="109"/>
        <v>0</v>
      </c>
      <c r="K215" s="74">
        <f t="shared" si="109"/>
        <v>0</v>
      </c>
      <c r="L215" s="74">
        <f t="shared" si="109"/>
        <v>0</v>
      </c>
      <c r="M215" s="74">
        <f t="shared" si="109"/>
        <v>0</v>
      </c>
      <c r="N215" s="74">
        <f t="shared" si="109"/>
        <v>0</v>
      </c>
      <c r="O215" s="74">
        <f t="shared" si="109"/>
        <v>0</v>
      </c>
      <c r="P215" s="74">
        <f t="shared" si="109"/>
        <v>0</v>
      </c>
      <c r="Q215" s="74">
        <f t="shared" si="109"/>
        <v>0</v>
      </c>
      <c r="R215" s="74">
        <f t="shared" si="109"/>
        <v>0</v>
      </c>
      <c r="S215" s="74">
        <f t="shared" si="109"/>
        <v>1635264</v>
      </c>
      <c r="T215" s="74">
        <f t="shared" si="109"/>
        <v>0</v>
      </c>
      <c r="U215" s="74">
        <f t="shared" si="109"/>
        <v>0</v>
      </c>
      <c r="V215" s="74">
        <f t="shared" si="109"/>
        <v>0</v>
      </c>
      <c r="W215" s="74">
        <f t="shared" si="109"/>
        <v>1635264</v>
      </c>
    </row>
    <row r="216" spans="1:24" x14ac:dyDescent="0.25">
      <c r="A216" s="13">
        <v>2</v>
      </c>
      <c r="B216" s="13">
        <v>6</v>
      </c>
      <c r="C216" s="13">
        <v>8</v>
      </c>
      <c r="D216" s="13">
        <v>5</v>
      </c>
      <c r="E216" s="18" t="s">
        <v>29</v>
      </c>
      <c r="F216" s="9" t="s">
        <v>209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67">
        <v>1635264</v>
      </c>
      <c r="T216" s="1"/>
      <c r="U216" s="1"/>
      <c r="V216" s="1"/>
      <c r="W216" s="14">
        <f>SUM(G216:V216)</f>
        <v>1635264</v>
      </c>
    </row>
    <row r="217" spans="1:24" x14ac:dyDescent="0.25">
      <c r="A217" s="44">
        <v>2</v>
      </c>
      <c r="B217" s="44">
        <v>7</v>
      </c>
      <c r="C217" s="44"/>
      <c r="D217" s="44"/>
      <c r="E217" s="44"/>
      <c r="F217" s="75" t="s">
        <v>210</v>
      </c>
      <c r="G217" s="60">
        <f>+G218+G223</f>
        <v>140223618.60750002</v>
      </c>
      <c r="H217" s="60">
        <f>+H218+H223</f>
        <v>6943066.2000000002</v>
      </c>
      <c r="I217" s="60"/>
      <c r="J217" s="60">
        <f t="shared" ref="J217:W217" si="110">+J218+J223</f>
        <v>8216927.25</v>
      </c>
      <c r="K217" s="60">
        <f t="shared" si="110"/>
        <v>0</v>
      </c>
      <c r="L217" s="60">
        <f t="shared" si="110"/>
        <v>7029246</v>
      </c>
      <c r="M217" s="60">
        <f>+M218+M223</f>
        <v>481866</v>
      </c>
      <c r="N217" s="60">
        <f t="shared" si="110"/>
        <v>0</v>
      </c>
      <c r="O217" s="60">
        <f t="shared" si="110"/>
        <v>8538338.9000000004</v>
      </c>
      <c r="P217" s="60">
        <f t="shared" si="110"/>
        <v>0</v>
      </c>
      <c r="Q217" s="60">
        <f t="shared" si="110"/>
        <v>0</v>
      </c>
      <c r="R217" s="60">
        <f t="shared" si="110"/>
        <v>5000000</v>
      </c>
      <c r="S217" s="60">
        <f t="shared" si="110"/>
        <v>3611366</v>
      </c>
      <c r="T217" s="60">
        <f t="shared" si="110"/>
        <v>0</v>
      </c>
      <c r="U217" s="60">
        <f t="shared" si="110"/>
        <v>0</v>
      </c>
      <c r="V217" s="60">
        <f t="shared" si="110"/>
        <v>33526181.579999998</v>
      </c>
      <c r="W217" s="60">
        <f t="shared" si="110"/>
        <v>213570610.53749996</v>
      </c>
      <c r="X217" s="78"/>
    </row>
    <row r="218" spans="1:24" x14ac:dyDescent="0.25">
      <c r="A218" s="3">
        <v>2</v>
      </c>
      <c r="B218" s="3">
        <v>7</v>
      </c>
      <c r="C218" s="3">
        <v>1</v>
      </c>
      <c r="D218" s="3"/>
      <c r="E218" s="3"/>
      <c r="F218" s="3" t="s">
        <v>211</v>
      </c>
      <c r="G218" s="4">
        <f>+G219+G221</f>
        <v>64321872.667500004</v>
      </c>
      <c r="H218" s="4">
        <f>+H219+H221</f>
        <v>0</v>
      </c>
      <c r="I218" s="4"/>
      <c r="J218" s="4">
        <f t="shared" ref="J218:W218" si="111">+J219+J221</f>
        <v>0</v>
      </c>
      <c r="K218" s="4">
        <f t="shared" si="111"/>
        <v>0</v>
      </c>
      <c r="L218" s="4">
        <f t="shared" si="111"/>
        <v>0</v>
      </c>
      <c r="M218" s="4">
        <f>+M219+M221</f>
        <v>0</v>
      </c>
      <c r="N218" s="4">
        <f t="shared" si="111"/>
        <v>0</v>
      </c>
      <c r="O218" s="4">
        <f t="shared" si="111"/>
        <v>0</v>
      </c>
      <c r="P218" s="4">
        <f>+P219+P221</f>
        <v>0</v>
      </c>
      <c r="Q218" s="60">
        <f>+Q219+Q224</f>
        <v>0</v>
      </c>
      <c r="R218" s="4">
        <f t="shared" si="111"/>
        <v>5000000</v>
      </c>
      <c r="S218" s="4">
        <f>+S219+S221</f>
        <v>0</v>
      </c>
      <c r="T218" s="4">
        <f>+T219+T221</f>
        <v>0</v>
      </c>
      <c r="U218" s="4">
        <f>+U219+U221</f>
        <v>0</v>
      </c>
      <c r="V218" s="4">
        <f t="shared" si="111"/>
        <v>14680320</v>
      </c>
      <c r="W218" s="4">
        <f t="shared" si="111"/>
        <v>84002192.667499989</v>
      </c>
      <c r="X218" s="78"/>
    </row>
    <row r="219" spans="1:24" x14ac:dyDescent="0.25">
      <c r="A219" s="2">
        <v>2</v>
      </c>
      <c r="B219" s="2">
        <v>7</v>
      </c>
      <c r="C219" s="2">
        <v>1</v>
      </c>
      <c r="D219" s="2">
        <v>1</v>
      </c>
      <c r="E219" s="2"/>
      <c r="F219" s="2" t="s">
        <v>212</v>
      </c>
      <c r="G219" s="74">
        <f>G220</f>
        <v>61258926.350000001</v>
      </c>
      <c r="H219" s="74">
        <f>H220</f>
        <v>0</v>
      </c>
      <c r="I219" s="74"/>
      <c r="J219" s="74">
        <f t="shared" ref="J219:W219" si="112">J220</f>
        <v>0</v>
      </c>
      <c r="K219" s="74">
        <f t="shared" si="112"/>
        <v>0</v>
      </c>
      <c r="L219" s="74">
        <f t="shared" si="112"/>
        <v>0</v>
      </c>
      <c r="M219" s="74">
        <f>M220</f>
        <v>0</v>
      </c>
      <c r="N219" s="74">
        <f t="shared" si="112"/>
        <v>0</v>
      </c>
      <c r="O219" s="74">
        <f t="shared" si="112"/>
        <v>0</v>
      </c>
      <c r="P219" s="74">
        <f>P220</f>
        <v>0</v>
      </c>
      <c r="Q219" s="74"/>
      <c r="R219" s="74">
        <f t="shared" si="112"/>
        <v>5000000</v>
      </c>
      <c r="S219" s="74">
        <f>S220</f>
        <v>0</v>
      </c>
      <c r="T219" s="74">
        <f>T220</f>
        <v>0</v>
      </c>
      <c r="U219" s="74">
        <f>U220</f>
        <v>0</v>
      </c>
      <c r="V219" s="74">
        <f t="shared" si="112"/>
        <v>14680320</v>
      </c>
      <c r="W219" s="74">
        <f t="shared" si="112"/>
        <v>80939246.349999994</v>
      </c>
    </row>
    <row r="220" spans="1:24" x14ac:dyDescent="0.25">
      <c r="A220" s="13">
        <v>2</v>
      </c>
      <c r="B220" s="13">
        <v>7</v>
      </c>
      <c r="C220" s="13">
        <v>1</v>
      </c>
      <c r="D220" s="13">
        <v>1</v>
      </c>
      <c r="E220" s="18" t="s">
        <v>29</v>
      </c>
      <c r="F220" s="1" t="s">
        <v>213</v>
      </c>
      <c r="G220" s="67">
        <v>61258926.350000001</v>
      </c>
      <c r="H220" s="1"/>
      <c r="I220" s="67"/>
      <c r="J220" s="1"/>
      <c r="K220" s="1"/>
      <c r="L220" s="1"/>
      <c r="M220" s="1"/>
      <c r="N220" s="1"/>
      <c r="O220" s="1"/>
      <c r="P220" s="1"/>
      <c r="Q220" s="1"/>
      <c r="R220" s="67">
        <v>5000000</v>
      </c>
      <c r="S220" s="1"/>
      <c r="T220" s="1"/>
      <c r="U220" s="1"/>
      <c r="V220" s="67">
        <v>14680320</v>
      </c>
      <c r="W220" s="14">
        <f>SUM(G220:V220)</f>
        <v>80939246.349999994</v>
      </c>
    </row>
    <row r="221" spans="1:24" x14ac:dyDescent="0.25">
      <c r="A221" s="2">
        <v>2</v>
      </c>
      <c r="B221" s="2">
        <v>7</v>
      </c>
      <c r="C221" s="2">
        <v>1</v>
      </c>
      <c r="D221" s="2">
        <v>5</v>
      </c>
      <c r="E221" s="2"/>
      <c r="F221" s="2" t="s">
        <v>214</v>
      </c>
      <c r="G221" s="74">
        <f>G222</f>
        <v>3062946.3175000004</v>
      </c>
      <c r="H221" s="74">
        <f>H222</f>
        <v>0</v>
      </c>
      <c r="I221" s="74"/>
      <c r="J221" s="74">
        <f t="shared" ref="J221:W221" si="113">J222</f>
        <v>0</v>
      </c>
      <c r="K221" s="74">
        <f t="shared" si="113"/>
        <v>0</v>
      </c>
      <c r="L221" s="74">
        <f t="shared" si="113"/>
        <v>0</v>
      </c>
      <c r="M221" s="74">
        <f>M222</f>
        <v>0</v>
      </c>
      <c r="N221" s="74">
        <f t="shared" si="113"/>
        <v>0</v>
      </c>
      <c r="O221" s="74">
        <f t="shared" si="113"/>
        <v>0</v>
      </c>
      <c r="P221" s="74">
        <f>P222</f>
        <v>0</v>
      </c>
      <c r="Q221" s="74"/>
      <c r="R221" s="74">
        <f t="shared" si="113"/>
        <v>0</v>
      </c>
      <c r="S221" s="74">
        <f>S222</f>
        <v>0</v>
      </c>
      <c r="T221" s="74">
        <f>T222</f>
        <v>0</v>
      </c>
      <c r="U221" s="74">
        <f>U222</f>
        <v>0</v>
      </c>
      <c r="V221" s="74">
        <f t="shared" si="113"/>
        <v>0</v>
      </c>
      <c r="W221" s="74">
        <f t="shared" si="113"/>
        <v>3062946.3175000004</v>
      </c>
    </row>
    <row r="222" spans="1:24" x14ac:dyDescent="0.25">
      <c r="A222" s="13">
        <v>2</v>
      </c>
      <c r="B222" s="13">
        <v>7</v>
      </c>
      <c r="C222" s="13">
        <v>1</v>
      </c>
      <c r="D222" s="13">
        <v>5</v>
      </c>
      <c r="E222" s="18" t="s">
        <v>29</v>
      </c>
      <c r="F222" s="1" t="s">
        <v>214</v>
      </c>
      <c r="G222" s="67">
        <f>G220*0.05</f>
        <v>3062946.3175000004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4">
        <f>SUM(G222:V222)</f>
        <v>3062946.3175000004</v>
      </c>
    </row>
    <row r="223" spans="1:24" x14ac:dyDescent="0.25">
      <c r="A223" s="3">
        <v>2</v>
      </c>
      <c r="B223" s="3">
        <v>7</v>
      </c>
      <c r="C223" s="3">
        <v>2</v>
      </c>
      <c r="D223" s="3"/>
      <c r="E223" s="3"/>
      <c r="F223" s="3" t="s">
        <v>215</v>
      </c>
      <c r="G223" s="4">
        <f>G224+G226+G228+G230+G233+G235</f>
        <v>75901745.939999998</v>
      </c>
      <c r="H223" s="4">
        <f>H224+H226+H228+H230+H233+H235</f>
        <v>6943066.2000000002</v>
      </c>
      <c r="I223" s="4"/>
      <c r="J223" s="4">
        <f t="shared" ref="J223:W223" si="114">J224+J226+J228+J230+J233+J235</f>
        <v>8216927.25</v>
      </c>
      <c r="K223" s="4">
        <f t="shared" si="114"/>
        <v>0</v>
      </c>
      <c r="L223" s="4">
        <f t="shared" si="114"/>
        <v>7029246</v>
      </c>
      <c r="M223" s="4">
        <f>M224+M226+M228+M230+M233+M235</f>
        <v>481866</v>
      </c>
      <c r="N223" s="4">
        <f t="shared" si="114"/>
        <v>0</v>
      </c>
      <c r="O223" s="4">
        <f t="shared" si="114"/>
        <v>8538338.9000000004</v>
      </c>
      <c r="P223" s="4">
        <f>P224+P226+P228+P230+P233+P235</f>
        <v>0</v>
      </c>
      <c r="Q223" s="4">
        <f>Q224+Q226+Q228+Q230+Q233+Q235</f>
        <v>0</v>
      </c>
      <c r="R223" s="4">
        <f t="shared" si="114"/>
        <v>0</v>
      </c>
      <c r="S223" s="4">
        <f>S224+S226+S228+S230+S233+S235</f>
        <v>3611366</v>
      </c>
      <c r="T223" s="4">
        <f>T224+T226+T228+T230+T233+T235</f>
        <v>0</v>
      </c>
      <c r="U223" s="4">
        <f>U224+U226+U228+U230+U233+U235</f>
        <v>0</v>
      </c>
      <c r="V223" s="4">
        <f t="shared" si="114"/>
        <v>18845861.579999998</v>
      </c>
      <c r="W223" s="4">
        <f t="shared" si="114"/>
        <v>129568417.86999999</v>
      </c>
      <c r="X223" s="78"/>
    </row>
    <row r="224" spans="1:24" x14ac:dyDescent="0.25">
      <c r="A224" s="2">
        <v>2</v>
      </c>
      <c r="B224" s="2">
        <v>7</v>
      </c>
      <c r="C224" s="2">
        <v>2</v>
      </c>
      <c r="D224" s="2">
        <v>1</v>
      </c>
      <c r="E224" s="2"/>
      <c r="F224" s="2" t="s">
        <v>216</v>
      </c>
      <c r="G224" s="74">
        <f>G225</f>
        <v>0</v>
      </c>
      <c r="H224" s="74">
        <f>H225</f>
        <v>0</v>
      </c>
      <c r="I224" s="74"/>
      <c r="J224" s="74">
        <f t="shared" ref="J224:W224" si="115">J225</f>
        <v>0</v>
      </c>
      <c r="K224" s="74">
        <f t="shared" si="115"/>
        <v>0</v>
      </c>
      <c r="L224" s="74">
        <f t="shared" si="115"/>
        <v>0</v>
      </c>
      <c r="M224" s="74">
        <f>M225</f>
        <v>0</v>
      </c>
      <c r="N224" s="74">
        <f t="shared" si="115"/>
        <v>0</v>
      </c>
      <c r="O224" s="74">
        <f t="shared" si="115"/>
        <v>1685945</v>
      </c>
      <c r="P224" s="74">
        <f>P225</f>
        <v>0</v>
      </c>
      <c r="Q224" s="74"/>
      <c r="R224" s="74">
        <f t="shared" si="115"/>
        <v>0</v>
      </c>
      <c r="S224" s="74">
        <f>S225</f>
        <v>0</v>
      </c>
      <c r="T224" s="74">
        <f>T225</f>
        <v>0</v>
      </c>
      <c r="U224" s="74">
        <f>U225</f>
        <v>0</v>
      </c>
      <c r="V224" s="74">
        <f t="shared" si="115"/>
        <v>12589525.18</v>
      </c>
      <c r="W224" s="74">
        <f t="shared" si="115"/>
        <v>14275470.18</v>
      </c>
    </row>
    <row r="225" spans="1:23" x14ac:dyDescent="0.25">
      <c r="A225" s="13">
        <v>2</v>
      </c>
      <c r="B225" s="13">
        <v>7</v>
      </c>
      <c r="C225" s="13">
        <v>2</v>
      </c>
      <c r="D225" s="13">
        <v>1</v>
      </c>
      <c r="E225" s="18" t="s">
        <v>29</v>
      </c>
      <c r="F225" s="1" t="s">
        <v>216</v>
      </c>
      <c r="G225" s="1"/>
      <c r="H225" s="1"/>
      <c r="I225" s="67"/>
      <c r="J225" s="1"/>
      <c r="K225" s="1"/>
      <c r="L225" s="1"/>
      <c r="M225" s="1"/>
      <c r="N225" s="1"/>
      <c r="O225" s="67">
        <v>1685945</v>
      </c>
      <c r="P225" s="1"/>
      <c r="Q225" s="67"/>
      <c r="R225" s="1"/>
      <c r="S225" s="1"/>
      <c r="T225" s="1"/>
      <c r="U225" s="1"/>
      <c r="V225" s="67">
        <v>12589525.18</v>
      </c>
      <c r="W225" s="14">
        <f>SUM(G225:V225)</f>
        <v>14275470.18</v>
      </c>
    </row>
    <row r="226" spans="1:23" x14ac:dyDescent="0.25">
      <c r="A226" s="2">
        <v>2</v>
      </c>
      <c r="B226" s="2">
        <v>7</v>
      </c>
      <c r="C226" s="2">
        <v>2</v>
      </c>
      <c r="D226" s="2">
        <v>2</v>
      </c>
      <c r="E226" s="2"/>
      <c r="F226" s="2" t="s">
        <v>217</v>
      </c>
      <c r="G226" s="74">
        <f>G227</f>
        <v>13268360</v>
      </c>
      <c r="H226" s="74">
        <f>H227</f>
        <v>0</v>
      </c>
      <c r="I226" s="74"/>
      <c r="J226" s="74">
        <f t="shared" ref="J226:W226" si="116">J227</f>
        <v>0</v>
      </c>
      <c r="K226" s="74">
        <f t="shared" si="116"/>
        <v>0</v>
      </c>
      <c r="L226" s="74">
        <f t="shared" si="116"/>
        <v>0</v>
      </c>
      <c r="M226" s="74">
        <f>M227</f>
        <v>0</v>
      </c>
      <c r="N226" s="74">
        <f t="shared" si="116"/>
        <v>0</v>
      </c>
      <c r="O226" s="74">
        <f t="shared" si="116"/>
        <v>0</v>
      </c>
      <c r="P226" s="74">
        <f>P227</f>
        <v>0</v>
      </c>
      <c r="Q226" s="74"/>
      <c r="R226" s="74">
        <f t="shared" si="116"/>
        <v>0</v>
      </c>
      <c r="S226" s="74">
        <f>S227</f>
        <v>0</v>
      </c>
      <c r="T226" s="74">
        <f>T227</f>
        <v>0</v>
      </c>
      <c r="U226" s="74"/>
      <c r="V226" s="74">
        <f t="shared" si="116"/>
        <v>0</v>
      </c>
      <c r="W226" s="74">
        <f t="shared" si="116"/>
        <v>13268360</v>
      </c>
    </row>
    <row r="227" spans="1:23" x14ac:dyDescent="0.25">
      <c r="A227" s="13">
        <v>2</v>
      </c>
      <c r="B227" s="13">
        <v>7</v>
      </c>
      <c r="C227" s="13">
        <v>2</v>
      </c>
      <c r="D227" s="13">
        <v>2</v>
      </c>
      <c r="E227" s="18" t="s">
        <v>29</v>
      </c>
      <c r="F227" s="1" t="s">
        <v>217</v>
      </c>
      <c r="G227" s="67">
        <v>13268360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4">
        <f>SUM(G227:V227)</f>
        <v>13268360</v>
      </c>
    </row>
    <row r="228" spans="1:23" x14ac:dyDescent="0.25">
      <c r="A228" s="2">
        <v>2</v>
      </c>
      <c r="B228" s="2">
        <v>7</v>
      </c>
      <c r="C228" s="2">
        <v>2</v>
      </c>
      <c r="D228" s="2">
        <v>3</v>
      </c>
      <c r="E228" s="2"/>
      <c r="F228" s="2" t="s">
        <v>218</v>
      </c>
      <c r="G228" s="74">
        <f>G229</f>
        <v>0</v>
      </c>
      <c r="H228" s="74">
        <f>H229</f>
        <v>4623752</v>
      </c>
      <c r="I228" s="74"/>
      <c r="J228" s="74">
        <f t="shared" ref="J228:W228" si="117">J229</f>
        <v>0</v>
      </c>
      <c r="K228" s="74">
        <f t="shared" si="117"/>
        <v>0</v>
      </c>
      <c r="L228" s="74">
        <f t="shared" si="117"/>
        <v>0</v>
      </c>
      <c r="M228" s="74">
        <f>M229</f>
        <v>0</v>
      </c>
      <c r="N228" s="74">
        <f t="shared" si="117"/>
        <v>0</v>
      </c>
      <c r="O228" s="74">
        <f t="shared" si="117"/>
        <v>0</v>
      </c>
      <c r="P228" s="74">
        <f>P229</f>
        <v>0</v>
      </c>
      <c r="Q228" s="74"/>
      <c r="R228" s="74">
        <f t="shared" si="117"/>
        <v>0</v>
      </c>
      <c r="S228" s="74">
        <f>S229</f>
        <v>0</v>
      </c>
      <c r="T228" s="74">
        <f>T229</f>
        <v>0</v>
      </c>
      <c r="U228" s="74"/>
      <c r="V228" s="74">
        <f t="shared" si="117"/>
        <v>0</v>
      </c>
      <c r="W228" s="74">
        <f t="shared" si="117"/>
        <v>4623752</v>
      </c>
    </row>
    <row r="229" spans="1:23" x14ac:dyDescent="0.25">
      <c r="A229" s="13">
        <v>2</v>
      </c>
      <c r="B229" s="13">
        <v>7</v>
      </c>
      <c r="C229" s="13">
        <v>2</v>
      </c>
      <c r="D229" s="13">
        <v>3</v>
      </c>
      <c r="E229" s="18" t="s">
        <v>29</v>
      </c>
      <c r="F229" s="1" t="s">
        <v>218</v>
      </c>
      <c r="G229" s="1"/>
      <c r="H229" s="67">
        <v>4623752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4">
        <f>SUM(G229:V229)</f>
        <v>4623752</v>
      </c>
    </row>
    <row r="230" spans="1:23" x14ac:dyDescent="0.25">
      <c r="A230" s="2">
        <v>2</v>
      </c>
      <c r="B230" s="2">
        <v>7</v>
      </c>
      <c r="C230" s="2">
        <v>2</v>
      </c>
      <c r="D230" s="2">
        <v>4</v>
      </c>
      <c r="E230" s="2"/>
      <c r="F230" s="2" t="s">
        <v>219</v>
      </c>
      <c r="G230" s="74">
        <f>SUM(G231:G232)</f>
        <v>18425610</v>
      </c>
      <c r="H230" s="74">
        <f>SUM(H231:H232)</f>
        <v>2319314.2000000002</v>
      </c>
      <c r="I230" s="74"/>
      <c r="J230" s="74">
        <f t="shared" ref="J230:W230" si="118">SUM(J231:J232)</f>
        <v>8216927.25</v>
      </c>
      <c r="K230" s="74">
        <f t="shared" si="118"/>
        <v>0</v>
      </c>
      <c r="L230" s="74">
        <f t="shared" si="118"/>
        <v>7029246</v>
      </c>
      <c r="M230" s="74">
        <f>SUM(M231:M232)</f>
        <v>481866</v>
      </c>
      <c r="N230" s="74">
        <f t="shared" si="118"/>
        <v>0</v>
      </c>
      <c r="O230" s="74">
        <f t="shared" si="118"/>
        <v>4638186.45</v>
      </c>
      <c r="P230" s="74">
        <f>SUM(P231:P232)</f>
        <v>0</v>
      </c>
      <c r="Q230" s="74"/>
      <c r="R230" s="74">
        <f t="shared" si="118"/>
        <v>0</v>
      </c>
      <c r="S230" s="74">
        <f>SUM(S231:S232)</f>
        <v>3611366</v>
      </c>
      <c r="T230" s="74">
        <f>SUM(T231:T232)</f>
        <v>0</v>
      </c>
      <c r="U230" s="74"/>
      <c r="V230" s="74">
        <f t="shared" si="118"/>
        <v>2967056.4000000004</v>
      </c>
      <c r="W230" s="74">
        <f t="shared" si="118"/>
        <v>47689572.299999997</v>
      </c>
    </row>
    <row r="231" spans="1:23" x14ac:dyDescent="0.25">
      <c r="A231" s="13">
        <v>2</v>
      </c>
      <c r="B231" s="13">
        <v>7</v>
      </c>
      <c r="C231" s="13">
        <v>2</v>
      </c>
      <c r="D231" s="13">
        <v>4</v>
      </c>
      <c r="E231" s="18" t="s">
        <v>29</v>
      </c>
      <c r="F231" s="1" t="s">
        <v>219</v>
      </c>
      <c r="G231" s="67">
        <v>17548200</v>
      </c>
      <c r="H231" s="67">
        <v>1358751</v>
      </c>
      <c r="I231" s="67"/>
      <c r="J231" s="67">
        <v>7825645</v>
      </c>
      <c r="K231" s="1"/>
      <c r="L231" s="67">
        <v>6694520</v>
      </c>
      <c r="M231" s="67">
        <v>458920</v>
      </c>
      <c r="N231" s="1"/>
      <c r="O231" s="67">
        <v>4610200</v>
      </c>
      <c r="P231" s="67"/>
      <c r="Q231" s="67"/>
      <c r="R231" s="67"/>
      <c r="S231" s="67">
        <v>3428920</v>
      </c>
      <c r="T231" s="67"/>
      <c r="U231" s="67"/>
      <c r="V231" s="67">
        <v>1856362</v>
      </c>
      <c r="W231" s="14">
        <f>SUM(G231:V231)</f>
        <v>43781518</v>
      </c>
    </row>
    <row r="232" spans="1:23" x14ac:dyDescent="0.25">
      <c r="A232" s="13">
        <v>2</v>
      </c>
      <c r="B232" s="13">
        <v>7</v>
      </c>
      <c r="C232" s="13">
        <v>2</v>
      </c>
      <c r="D232" s="13">
        <v>4</v>
      </c>
      <c r="E232" s="18" t="s">
        <v>49</v>
      </c>
      <c r="F232" s="1" t="s">
        <v>220</v>
      </c>
      <c r="G232" s="67">
        <f>G231*0.05</f>
        <v>877410</v>
      </c>
      <c r="H232" s="67">
        <f>19211264*0.05</f>
        <v>960563.20000000007</v>
      </c>
      <c r="I232" s="67"/>
      <c r="J232" s="67">
        <f>7825645*0.05</f>
        <v>391282.25</v>
      </c>
      <c r="K232" s="67"/>
      <c r="L232" s="67">
        <f>6694520*0.05</f>
        <v>334726</v>
      </c>
      <c r="M232" s="67">
        <f>458920*0.05</f>
        <v>22946</v>
      </c>
      <c r="N232" s="67"/>
      <c r="O232" s="67">
        <f>559729*0.05</f>
        <v>27986.45</v>
      </c>
      <c r="P232" s="67"/>
      <c r="Q232" s="67"/>
      <c r="R232" s="67"/>
      <c r="S232" s="67">
        <f>3648920*0.05</f>
        <v>182446</v>
      </c>
      <c r="T232" s="67"/>
      <c r="U232" s="67"/>
      <c r="V232" s="67">
        <f>22213888*0.05</f>
        <v>1110694.4000000001</v>
      </c>
      <c r="W232" s="14">
        <f>SUM(G232:V232)</f>
        <v>3908054.3000000007</v>
      </c>
    </row>
    <row r="233" spans="1:23" x14ac:dyDescent="0.25">
      <c r="A233" s="2">
        <v>2</v>
      </c>
      <c r="B233" s="2">
        <v>7</v>
      </c>
      <c r="C233" s="2">
        <v>2</v>
      </c>
      <c r="D233" s="2">
        <v>6</v>
      </c>
      <c r="E233" s="2"/>
      <c r="F233" s="2" t="s">
        <v>221</v>
      </c>
      <c r="G233" s="74">
        <f>G234</f>
        <v>9261523.5800000001</v>
      </c>
      <c r="H233" s="74">
        <f>H234</f>
        <v>0</v>
      </c>
      <c r="I233" s="74"/>
      <c r="J233" s="74">
        <f t="shared" ref="J233:W233" si="119">J234</f>
        <v>0</v>
      </c>
      <c r="K233" s="74">
        <f t="shared" si="119"/>
        <v>0</v>
      </c>
      <c r="L233" s="74">
        <f t="shared" si="119"/>
        <v>0</v>
      </c>
      <c r="M233" s="74">
        <f>M234</f>
        <v>0</v>
      </c>
      <c r="N233" s="74">
        <f t="shared" si="119"/>
        <v>0</v>
      </c>
      <c r="O233" s="74">
        <f t="shared" si="119"/>
        <v>318584</v>
      </c>
      <c r="P233" s="74">
        <f>P234</f>
        <v>0</v>
      </c>
      <c r="Q233" s="74"/>
      <c r="R233" s="74">
        <f t="shared" si="119"/>
        <v>0</v>
      </c>
      <c r="S233" s="74">
        <f>S234</f>
        <v>0</v>
      </c>
      <c r="T233" s="74">
        <f>T234</f>
        <v>0</v>
      </c>
      <c r="U233" s="74"/>
      <c r="V233" s="74">
        <f t="shared" si="119"/>
        <v>0</v>
      </c>
      <c r="W233" s="74">
        <f t="shared" si="119"/>
        <v>9580107.5800000001</v>
      </c>
    </row>
    <row r="234" spans="1:23" x14ac:dyDescent="0.25">
      <c r="A234" s="13">
        <v>2</v>
      </c>
      <c r="B234" s="13">
        <v>7</v>
      </c>
      <c r="C234" s="13">
        <v>2</v>
      </c>
      <c r="D234" s="13">
        <v>6</v>
      </c>
      <c r="E234" s="18" t="s">
        <v>29</v>
      </c>
      <c r="F234" s="1" t="s">
        <v>221</v>
      </c>
      <c r="G234" s="67">
        <v>9261523.5800000001</v>
      </c>
      <c r="H234" s="1"/>
      <c r="I234" s="1"/>
      <c r="J234" s="1"/>
      <c r="K234" s="1"/>
      <c r="L234" s="1"/>
      <c r="M234" s="1"/>
      <c r="N234" s="1"/>
      <c r="O234" s="67">
        <v>318584</v>
      </c>
      <c r="P234" s="1"/>
      <c r="Q234" s="67"/>
      <c r="R234" s="1"/>
      <c r="S234" s="1"/>
      <c r="T234" s="1"/>
      <c r="U234" s="1"/>
      <c r="V234" s="1"/>
      <c r="W234" s="14">
        <f>SUM(G234:V234)</f>
        <v>9580107.5800000001</v>
      </c>
    </row>
    <row r="235" spans="1:23" x14ac:dyDescent="0.25">
      <c r="A235" s="2">
        <v>2</v>
      </c>
      <c r="B235" s="2">
        <v>7</v>
      </c>
      <c r="C235" s="2">
        <v>2</v>
      </c>
      <c r="D235" s="2">
        <v>7</v>
      </c>
      <c r="E235" s="2"/>
      <c r="F235" s="2" t="s">
        <v>222</v>
      </c>
      <c r="G235" s="74">
        <f>G236</f>
        <v>34946252.359999999</v>
      </c>
      <c r="H235" s="74">
        <f>H236</f>
        <v>0</v>
      </c>
      <c r="I235" s="74"/>
      <c r="J235" s="74">
        <f t="shared" ref="J235:W235" si="120">J236</f>
        <v>0</v>
      </c>
      <c r="K235" s="74">
        <f t="shared" si="120"/>
        <v>0</v>
      </c>
      <c r="L235" s="74">
        <f t="shared" si="120"/>
        <v>0</v>
      </c>
      <c r="M235" s="74">
        <f>M236</f>
        <v>0</v>
      </c>
      <c r="N235" s="74">
        <f t="shared" si="120"/>
        <v>0</v>
      </c>
      <c r="O235" s="74">
        <f t="shared" si="120"/>
        <v>1895623.45</v>
      </c>
      <c r="P235" s="74">
        <f>P236</f>
        <v>0</v>
      </c>
      <c r="Q235" s="74"/>
      <c r="R235" s="74">
        <f t="shared" si="120"/>
        <v>0</v>
      </c>
      <c r="S235" s="74">
        <f>S236</f>
        <v>0</v>
      </c>
      <c r="T235" s="74">
        <f>T236</f>
        <v>0</v>
      </c>
      <c r="U235" s="74"/>
      <c r="V235" s="74">
        <f t="shared" si="120"/>
        <v>3289280</v>
      </c>
      <c r="W235" s="74">
        <f t="shared" si="120"/>
        <v>40131155.810000002</v>
      </c>
    </row>
    <row r="236" spans="1:23" x14ac:dyDescent="0.25">
      <c r="A236" s="13">
        <v>2</v>
      </c>
      <c r="B236" s="13">
        <v>7</v>
      </c>
      <c r="C236" s="13">
        <v>2</v>
      </c>
      <c r="D236" s="13">
        <v>7</v>
      </c>
      <c r="E236" s="18" t="s">
        <v>29</v>
      </c>
      <c r="F236" s="1" t="s">
        <v>222</v>
      </c>
      <c r="G236" s="67">
        <v>34946252.359999999</v>
      </c>
      <c r="H236" s="1"/>
      <c r="I236" s="67"/>
      <c r="J236" s="1"/>
      <c r="K236" s="1"/>
      <c r="L236" s="1"/>
      <c r="M236" s="1"/>
      <c r="N236" s="1"/>
      <c r="O236" s="67">
        <v>1895623.45</v>
      </c>
      <c r="P236" s="1"/>
      <c r="Q236" s="1"/>
      <c r="R236" s="1"/>
      <c r="S236" s="1"/>
      <c r="T236" s="1"/>
      <c r="U236" s="1"/>
      <c r="V236" s="67">
        <v>3289280</v>
      </c>
      <c r="W236" s="14">
        <f>SUM(G236:V236)</f>
        <v>40131155.810000002</v>
      </c>
    </row>
  </sheetData>
  <sheetProtection algorithmName="SHA-512" hashValue="soC+CjxOHxtLnJbrJ+EUNHbJQn8h70QnzNgDKtebNGjJXFI12GrWqY/hPHENMAIk5SKm9G8crQcLKDSZWu6UKg==" saltValue="amlaKdxD5CRy9DVKr2ADrw==" spinCount="100000" sheet="1" formatCells="0" formatColumns="0" formatRows="0" insertColumns="0" insertRows="0" insertHyperlinks="0" deleteColumns="0" deleteRows="0" sort="0"/>
  <mergeCells count="3">
    <mergeCell ref="A1:W1"/>
    <mergeCell ref="A2:W2"/>
    <mergeCell ref="A3:W3"/>
  </mergeCells>
  <printOptions horizontalCentered="1"/>
  <pageMargins left="0.51181102362204722" right="0.51181102362204722" top="0.55118110236220474" bottom="0.55118110236220474" header="0.31496062992125984" footer="0.31496062992125984"/>
  <pageSetup paperSize="5" scale="80" orientation="landscape" horizontalDpi="300" verticalDpi="300" r:id="rId1"/>
  <rowBreaks count="4" manualBreakCount="4">
    <brk id="36" max="16383" man="1"/>
    <brk id="144" max="16383" man="1"/>
    <brk id="179" max="16383" man="1"/>
    <brk id="21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C328A08FC4AF4BB7C54FC654238B11" ma:contentTypeVersion="13" ma:contentTypeDescription="Create a new document." ma:contentTypeScope="" ma:versionID="fa8d73eca2937caf73b5eb407c712ef8">
  <xsd:schema xmlns:xsd="http://www.w3.org/2001/XMLSchema" xmlns:xs="http://www.w3.org/2001/XMLSchema" xmlns:p="http://schemas.microsoft.com/office/2006/metadata/properties" xmlns:ns3="1365da7b-95f5-4f5c-bb94-62359643d458" xmlns:ns4="7ae7b943-c23a-46e3-808b-4e723a6f6b34" targetNamespace="http://schemas.microsoft.com/office/2006/metadata/properties" ma:root="true" ma:fieldsID="6221229cc6dc2418ec46c3bee54704d6" ns3:_="" ns4:_="">
    <xsd:import namespace="1365da7b-95f5-4f5c-bb94-62359643d458"/>
    <xsd:import namespace="7ae7b943-c23a-46e3-808b-4e723a6f6b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65da7b-95f5-4f5c-bb94-62359643d4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7b943-c23a-46e3-808b-4e723a6f6b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24568-5843-40AF-8CFD-D29992BF16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EE5125-B953-4F40-BC43-3496B6E1FD0A}">
  <ds:schemaRefs>
    <ds:schemaRef ds:uri="http://purl.org/dc/dcmitype/"/>
    <ds:schemaRef ds:uri="http://schemas.microsoft.com/office/2006/metadata/properties"/>
    <ds:schemaRef ds:uri="1365da7b-95f5-4f5c-bb94-62359643d458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7ae7b943-c23a-46e3-808b-4e723a6f6b34"/>
  </ds:schemaRefs>
</ds:datastoreItem>
</file>

<file path=customXml/itemProps3.xml><?xml version="1.0" encoding="utf-8"?>
<ds:datastoreItem xmlns:ds="http://schemas.openxmlformats.org/officeDocument/2006/customXml" ds:itemID="{672EC8EC-CA8B-477F-A8C0-91E3CD3B5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65da7b-95f5-4f5c-bb94-62359643d458"/>
    <ds:schemaRef ds:uri="7ae7b943-c23a-46e3-808b-4e723a6f6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Detalle_Gastos_4toNivel</vt:lpstr>
      <vt:lpstr>Detalle_Gastos_4toNivel!Títulos_a_imprimir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Acosta</dc:creator>
  <cp:keywords/>
  <dc:description/>
  <cp:lastModifiedBy>Jaime Arismendi Acosta Padilla</cp:lastModifiedBy>
  <cp:revision/>
  <cp:lastPrinted>2022-08-31T21:42:39Z</cp:lastPrinted>
  <dcterms:created xsi:type="dcterms:W3CDTF">2021-12-21T21:59:10Z</dcterms:created>
  <dcterms:modified xsi:type="dcterms:W3CDTF">2022-08-31T21:54:54Z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0x010100C5C328A08FC4AF4BB7C54FC654238B11</vt:lpwstr>
  </property>
</Properties>
</file>